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gbu\Downloads\"/>
    </mc:Choice>
  </mc:AlternateContent>
  <xr:revisionPtr revIDLastSave="0" documentId="13_ncr:1_{D49A6CAE-220F-42E8-A2A1-A16E50FDE65B}" xr6:coauthVersionLast="47" xr6:coauthVersionMax="47" xr10:uidLastSave="{00000000-0000-0000-0000-000000000000}"/>
  <bookViews>
    <workbookView xWindow="-96" yWindow="-96" windowWidth="23232" windowHeight="12432" xr2:uid="{731F7F1A-C6AE-44CB-BB61-9FBEF3CCBB25}"/>
  </bookViews>
  <sheets>
    <sheet name="Heizlast Bestand" sheetId="2" r:id="rId1"/>
  </sheets>
  <externalReferences>
    <externalReference r:id="rId2"/>
    <externalReference r:id="rId3"/>
    <externalReference r:id="rId4"/>
    <externalReference r:id="rId5"/>
  </externalReferences>
  <definedNames>
    <definedName name="Country">[1]diverse!$F$4:$F$32</definedName>
    <definedName name="em_1" localSheetId="0">OFFSET(#REF!,0,0,1,COUNTA(#REF!))</definedName>
    <definedName name="em_1">OFFSET(#REF!,0,0,1,COUNTA(#REF!))</definedName>
    <definedName name="em_2" localSheetId="0">OFFSET(#REF!,0,0,1,COUNTA(#REF!))</definedName>
    <definedName name="em_2">OFFSET(#REF!,0,0,1,COUNTA(#REF!))</definedName>
    <definedName name="em_3" localSheetId="0">OFFSET(#REF!,0,0,1,COUNTA(#REF!))</definedName>
    <definedName name="em_3">OFFSET(#REF!,0,0,1,COUNTA(#REF!))</definedName>
    <definedName name="em_4" localSheetId="0">OFFSET(#REF!,0,0,1,COUNTA(#REF!))</definedName>
    <definedName name="em_4">OFFSET(#REF!,0,0,1,COUNTA(#REF!))</definedName>
    <definedName name="em_5" localSheetId="0">OFFSET(#REF!,0,0,1,COUNTA(#REF!))</definedName>
    <definedName name="em_5">OFFSET(#REF!,0,0,1,COUNTA(#REF!))</definedName>
    <definedName name="em_6" localSheetId="0">OFFSET(#REF!,0,0,1,COUNTA(#REF!))</definedName>
    <definedName name="em_6">OFFSET(#REF!,0,0,1,COUNTA(#REF!))</definedName>
    <definedName name="emission_factor" localSheetId="0">#REF!</definedName>
    <definedName name="emission_factor">#REF!</definedName>
    <definedName name="energy_type" localSheetId="0">#REF!</definedName>
    <definedName name="energy_type">#REF!</definedName>
    <definedName name="energy_unit" localSheetId="0">#REF!</definedName>
    <definedName name="energy_unit">#REF!</definedName>
    <definedName name="HTML_CodePage" hidden="1">1252</definedName>
    <definedName name="HTML_Control" hidden="1">{"'Verkehr-Personen'!$A$5:$J$26"}</definedName>
    <definedName name="HTML_Description" hidden="1">""</definedName>
    <definedName name="HTML_Email" hidden="1">""</definedName>
    <definedName name="HTML_Header" hidden="1">"Verkehr-Personen"</definedName>
    <definedName name="HTML_LastUpdate" hidden="1">"08-11-00"</definedName>
    <definedName name="HTML_LineAfter" hidden="1">FALSE</definedName>
    <definedName name="HTML_LineBefore" hidden="1">FALSE</definedName>
    <definedName name="HTML_Name" hidden="1">"Uwe R. Fritsche"</definedName>
    <definedName name="HTML_OBDlg2" hidden="1">TRUE</definedName>
    <definedName name="HTML_OBDlg4" hidden="1">TRUE</definedName>
    <definedName name="HTML_OS" hidden="1">0</definedName>
    <definedName name="HTML_PathFile" hidden="1">"D:\Archiv\G4-results Verkehr-P.htm"</definedName>
    <definedName name="HTML_Title" hidden="1">"G4-ergebnisse"</definedName>
    <definedName name="Indicator_Type_AssignStationToPostcode">[3]UserForm!$AI$12</definedName>
    <definedName name="Indicator_Type_LocationBuilding">[3]UserForm!$AI$10</definedName>
    <definedName name="Klimadaten_aktuell">'[4]Standardwerte Klima'!$N$1:$O$26</definedName>
    <definedName name="lcc_1" localSheetId="0">OFFSET(#REF!,0,0,1,COUNTA(#REF!))</definedName>
    <definedName name="lcc_1">OFFSET(#REF!,0,0,1,COUNTA(#REF!))</definedName>
    <definedName name="lcc_annual_aquisition" localSheetId="0">OFFSET(#REF!,0,0,1,COUNTA(#REF!))</definedName>
    <definedName name="lcc_annual_aquisition">OFFSET(#REF!,0,0,1,COUNTA(#REF!))</definedName>
    <definedName name="lcc_annual_maintenance" localSheetId="0">OFFSET(#REF!,0,0,1,COUNTA(#REF!))</definedName>
    <definedName name="lcc_annual_maintenance">OFFSET(#REF!,0,0,1,COUNTA(#REF!))</definedName>
    <definedName name="lcc_annual_operation" localSheetId="0">OFFSET(#REF!,0,0,1,COUNTA(#REF!))</definedName>
    <definedName name="lcc_annual_operation">OFFSET(#REF!,0,0,1,COUNTA(#REF!))</definedName>
    <definedName name="lcc_annual_othercosts" localSheetId="0">OFFSET(#REF!,0,0,1,COUNTA(#REF!))</definedName>
    <definedName name="lcc_annual_othercosts">OFFSET(#REF!,0,0,1,COUNTA(#REF!))</definedName>
    <definedName name="lcc_annual_remnant" localSheetId="0">OFFSET(#REF!,0,0,1,COUNTA(#REF!))</definedName>
    <definedName name="lcc_annual_remnant">OFFSET(#REF!,0,0,1,COUNTA(#REF!))</definedName>
    <definedName name="lcc_usage_aquisition" localSheetId="0">OFFSET(#REF!,0,0,1,COUNTA(#REF!))</definedName>
    <definedName name="lcc_usage_aquisition">OFFSET(#REF!,0,0,1,COUNTA(#REF!))</definedName>
    <definedName name="lcc_usage_maintenance" localSheetId="0">OFFSET(#REF!,0,0,1,COUNTA(#REF!))</definedName>
    <definedName name="lcc_usage_maintenance">OFFSET(#REF!,0,0,1,COUNTA(#REF!))</definedName>
    <definedName name="lcc_usage_operation" localSheetId="0">OFFSET(#REF!,0,0,1,COUNTA(#REF!))</definedName>
    <definedName name="lcc_usage_operation">OFFSET(#REF!,0,0,1,COUNTA(#REF!))</definedName>
    <definedName name="lcc_usage_othercosts" localSheetId="0">OFFSET(#REF!,0,0,1,COUNTA(#REF!))</definedName>
    <definedName name="lcc_usage_othercosts">OFFSET(#REF!,0,0,1,COUNTA(#REF!))</definedName>
    <definedName name="lcc_usage_remnant" localSheetId="0">OFFSET(#REF!,0,0,1,COUNTA(#REF!))</definedName>
    <definedName name="lcc_usage_remnant">OFFSET(#REF!,0,0,1,COUNTA(#REF!))</definedName>
    <definedName name="motorraf" hidden="1">{"'Verkehr-Personen'!$A$5:$J$26"}</definedName>
    <definedName name="offer_id" localSheetId="0">OFFSET(#REF!,0,0,1,COUNTA(#REF!))</definedName>
    <definedName name="offer_id">OFFSET(#REF!,0,0,1,COUNTA(#REF!))</definedName>
    <definedName name="Products">[1]diverse!$J$5:$J$20</definedName>
    <definedName name="t" hidden="1">{"'Verkehr-Personen'!$A$5:$J$26"}</definedName>
    <definedName name="Timerange">[1]diverse!$M$4:$M$29</definedName>
    <definedName name="Verkehr2" hidden="1">{"'Verkehr-Personen'!$A$5:$J$26"}</definedName>
    <definedName name="VerkehrPkwKlassen" hidden="1">{"'Verkehr-Personen'!$A$5:$J$26"}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1" i="2" l="1"/>
  <c r="G128" i="2"/>
  <c r="G127" i="2"/>
  <c r="H129" i="2" s="1"/>
  <c r="I129" i="2" s="1"/>
  <c r="H124" i="2"/>
  <c r="G124" i="2"/>
  <c r="H126" i="2" s="1"/>
  <c r="G121" i="2"/>
  <c r="G120" i="2" a="1"/>
  <c r="G120" i="2" s="1"/>
  <c r="G122" i="2" s="1"/>
  <c r="G123" i="2" s="1"/>
  <c r="G116" i="2" a="1"/>
  <c r="G116" i="2" s="1"/>
  <c r="G117" i="2" s="1"/>
  <c r="G125" i="2" s="1"/>
  <c r="G126" i="2" s="1"/>
  <c r="G109" i="2"/>
  <c r="C94" i="2"/>
  <c r="C93" i="2"/>
  <c r="C91" i="2"/>
  <c r="C90" i="2"/>
  <c r="S82" i="2"/>
  <c r="R82" i="2"/>
  <c r="Q82" i="2"/>
  <c r="P82" i="2"/>
  <c r="O82" i="2"/>
  <c r="N82" i="2"/>
  <c r="M82" i="2"/>
  <c r="L82" i="2"/>
  <c r="K82" i="2"/>
  <c r="J82" i="2"/>
  <c r="I82" i="2"/>
  <c r="H82" i="2"/>
  <c r="G82" i="2"/>
  <c r="F82" i="2"/>
  <c r="E82" i="2"/>
  <c r="D82" i="2"/>
  <c r="S81" i="2"/>
  <c r="R81" i="2"/>
  <c r="Q81" i="2"/>
  <c r="P81" i="2"/>
  <c r="O81" i="2"/>
  <c r="N81" i="2"/>
  <c r="M81" i="2"/>
  <c r="L81" i="2"/>
  <c r="K81" i="2"/>
  <c r="J81" i="2"/>
  <c r="I81" i="2"/>
  <c r="H81" i="2"/>
  <c r="G81" i="2"/>
  <c r="F81" i="2"/>
  <c r="E81" i="2"/>
  <c r="D81" i="2"/>
  <c r="S80" i="2"/>
  <c r="R80" i="2"/>
  <c r="Q80" i="2"/>
  <c r="P80" i="2"/>
  <c r="O80" i="2"/>
  <c r="N80" i="2"/>
  <c r="M80" i="2"/>
  <c r="L80" i="2"/>
  <c r="K80" i="2"/>
  <c r="J80" i="2"/>
  <c r="I80" i="2"/>
  <c r="H80" i="2"/>
  <c r="G80" i="2"/>
  <c r="F80" i="2"/>
  <c r="E80" i="2"/>
  <c r="D80" i="2"/>
  <c r="S79" i="2"/>
  <c r="R79" i="2"/>
  <c r="Q79" i="2"/>
  <c r="P79" i="2"/>
  <c r="O79" i="2"/>
  <c r="N79" i="2"/>
  <c r="M79" i="2"/>
  <c r="L79" i="2"/>
  <c r="K79" i="2"/>
  <c r="J79" i="2"/>
  <c r="I79" i="2"/>
  <c r="H79" i="2"/>
  <c r="G79" i="2"/>
  <c r="F79" i="2"/>
  <c r="E79" i="2"/>
  <c r="D79" i="2"/>
  <c r="S78" i="2"/>
  <c r="R78" i="2"/>
  <c r="Q78" i="2"/>
  <c r="P78" i="2"/>
  <c r="O78" i="2"/>
  <c r="N78" i="2"/>
  <c r="M78" i="2"/>
  <c r="L78" i="2"/>
  <c r="K78" i="2"/>
  <c r="J78" i="2"/>
  <c r="I78" i="2"/>
  <c r="H78" i="2"/>
  <c r="G78" i="2"/>
  <c r="F78" i="2"/>
  <c r="E78" i="2"/>
  <c r="D78" i="2"/>
  <c r="S77" i="2"/>
  <c r="R77" i="2"/>
  <c r="Q77" i="2"/>
  <c r="P77" i="2"/>
  <c r="O77" i="2"/>
  <c r="N77" i="2"/>
  <c r="M77" i="2"/>
  <c r="L77" i="2"/>
  <c r="K77" i="2"/>
  <c r="J77" i="2"/>
  <c r="I77" i="2"/>
  <c r="H77" i="2"/>
  <c r="G77" i="2"/>
  <c r="F77" i="2"/>
  <c r="E77" i="2"/>
  <c r="D77" i="2"/>
  <c r="S76" i="2"/>
  <c r="R76" i="2"/>
  <c r="Q76" i="2"/>
  <c r="P76" i="2"/>
  <c r="O76" i="2"/>
  <c r="N76" i="2"/>
  <c r="M76" i="2"/>
  <c r="L76" i="2"/>
  <c r="K76" i="2"/>
  <c r="J76" i="2"/>
  <c r="I76" i="2"/>
  <c r="H76" i="2"/>
  <c r="G76" i="2"/>
  <c r="F76" i="2"/>
  <c r="E76" i="2"/>
  <c r="D76" i="2"/>
  <c r="S75" i="2"/>
  <c r="R75" i="2"/>
  <c r="Q75" i="2"/>
  <c r="P75" i="2"/>
  <c r="O75" i="2"/>
  <c r="N75" i="2"/>
  <c r="M75" i="2"/>
  <c r="L75" i="2"/>
  <c r="K75" i="2"/>
  <c r="J75" i="2"/>
  <c r="I75" i="2"/>
  <c r="H75" i="2"/>
  <c r="G75" i="2"/>
  <c r="F75" i="2"/>
  <c r="E75" i="2"/>
  <c r="D75" i="2"/>
  <c r="S74" i="2"/>
  <c r="R74" i="2"/>
  <c r="Q74" i="2"/>
  <c r="P74" i="2"/>
  <c r="O74" i="2"/>
  <c r="N74" i="2"/>
  <c r="M74" i="2"/>
  <c r="L74" i="2"/>
  <c r="K74" i="2"/>
  <c r="J74" i="2"/>
  <c r="I74" i="2"/>
  <c r="H74" i="2"/>
  <c r="G74" i="2"/>
  <c r="F74" i="2"/>
  <c r="E74" i="2"/>
  <c r="D74" i="2"/>
  <c r="S73" i="2"/>
  <c r="R73" i="2"/>
  <c r="Q73" i="2"/>
  <c r="P73" i="2"/>
  <c r="O73" i="2"/>
  <c r="N73" i="2"/>
  <c r="M73" i="2"/>
  <c r="L73" i="2"/>
  <c r="K73" i="2"/>
  <c r="J73" i="2"/>
  <c r="I73" i="2"/>
  <c r="H73" i="2"/>
  <c r="G73" i="2"/>
  <c r="F73" i="2"/>
  <c r="E73" i="2"/>
  <c r="D73" i="2"/>
  <c r="S72" i="2"/>
  <c r="R72" i="2"/>
  <c r="Q72" i="2"/>
  <c r="P72" i="2"/>
  <c r="O72" i="2"/>
  <c r="N72" i="2"/>
  <c r="M72" i="2"/>
  <c r="L72" i="2"/>
  <c r="K72" i="2"/>
  <c r="J72" i="2"/>
  <c r="I72" i="2"/>
  <c r="H72" i="2"/>
  <c r="G72" i="2"/>
  <c r="F72" i="2"/>
  <c r="E72" i="2"/>
  <c r="D72" i="2"/>
  <c r="S71" i="2"/>
  <c r="R71" i="2"/>
  <c r="Q71" i="2"/>
  <c r="P71" i="2"/>
  <c r="O71" i="2"/>
  <c r="N71" i="2"/>
  <c r="M71" i="2"/>
  <c r="L71" i="2"/>
  <c r="K71" i="2"/>
  <c r="J71" i="2"/>
  <c r="I71" i="2"/>
  <c r="H71" i="2"/>
  <c r="G71" i="2"/>
  <c r="F71" i="2"/>
  <c r="E71" i="2"/>
  <c r="D71" i="2"/>
  <c r="S70" i="2"/>
  <c r="R70" i="2"/>
  <c r="Q70" i="2"/>
  <c r="P70" i="2"/>
  <c r="O70" i="2"/>
  <c r="N70" i="2"/>
  <c r="M70" i="2"/>
  <c r="L70" i="2"/>
  <c r="K70" i="2"/>
  <c r="J70" i="2"/>
  <c r="I70" i="2"/>
  <c r="H70" i="2"/>
  <c r="G70" i="2"/>
  <c r="F70" i="2"/>
  <c r="E70" i="2"/>
  <c r="D70" i="2"/>
  <c r="S69" i="2"/>
  <c r="R69" i="2"/>
  <c r="Q69" i="2"/>
  <c r="P69" i="2"/>
  <c r="O69" i="2"/>
  <c r="N69" i="2"/>
  <c r="M69" i="2"/>
  <c r="L69" i="2"/>
  <c r="K69" i="2"/>
  <c r="J69" i="2"/>
  <c r="I69" i="2"/>
  <c r="H69" i="2"/>
  <c r="G69" i="2"/>
  <c r="F69" i="2"/>
  <c r="E69" i="2"/>
  <c r="D69" i="2"/>
  <c r="S68" i="2"/>
  <c r="R68" i="2"/>
  <c r="Q68" i="2"/>
  <c r="P68" i="2"/>
  <c r="O68" i="2"/>
  <c r="N68" i="2"/>
  <c r="M68" i="2"/>
  <c r="L68" i="2"/>
  <c r="K68" i="2"/>
  <c r="J68" i="2"/>
  <c r="I68" i="2"/>
  <c r="H68" i="2"/>
  <c r="G68" i="2"/>
  <c r="F68" i="2"/>
  <c r="E68" i="2"/>
  <c r="D68" i="2"/>
  <c r="S67" i="2"/>
  <c r="R67" i="2"/>
  <c r="Q67" i="2"/>
  <c r="P67" i="2"/>
  <c r="O67" i="2"/>
  <c r="N67" i="2"/>
  <c r="M67" i="2"/>
  <c r="L67" i="2"/>
  <c r="K67" i="2"/>
  <c r="J67" i="2"/>
  <c r="I67" i="2"/>
  <c r="H67" i="2"/>
  <c r="G67" i="2"/>
  <c r="F67" i="2"/>
  <c r="E67" i="2"/>
  <c r="D67" i="2"/>
  <c r="S66" i="2"/>
  <c r="R66" i="2"/>
  <c r="Q66" i="2"/>
  <c r="P66" i="2"/>
  <c r="O66" i="2"/>
  <c r="N66" i="2"/>
  <c r="M66" i="2"/>
  <c r="L66" i="2"/>
  <c r="K66" i="2"/>
  <c r="J66" i="2"/>
  <c r="I66" i="2"/>
  <c r="H66" i="2"/>
  <c r="G66" i="2"/>
  <c r="F66" i="2"/>
  <c r="E66" i="2"/>
  <c r="D66" i="2"/>
  <c r="S65" i="2"/>
  <c r="R65" i="2"/>
  <c r="Q65" i="2"/>
  <c r="P65" i="2"/>
  <c r="O65" i="2"/>
  <c r="N65" i="2"/>
  <c r="M65" i="2"/>
  <c r="L65" i="2"/>
  <c r="K65" i="2"/>
  <c r="J65" i="2"/>
  <c r="I65" i="2"/>
  <c r="H65" i="2"/>
  <c r="G65" i="2"/>
  <c r="F65" i="2"/>
  <c r="E65" i="2"/>
  <c r="D65" i="2"/>
  <c r="S64" i="2"/>
  <c r="R64" i="2"/>
  <c r="Q64" i="2"/>
  <c r="P64" i="2"/>
  <c r="O64" i="2"/>
  <c r="N64" i="2"/>
  <c r="M64" i="2"/>
  <c r="L64" i="2"/>
  <c r="K64" i="2"/>
  <c r="J64" i="2"/>
  <c r="I64" i="2"/>
  <c r="H64" i="2"/>
  <c r="G64" i="2"/>
  <c r="F64" i="2"/>
  <c r="E64" i="2"/>
  <c r="D64" i="2"/>
  <c r="S63" i="2"/>
  <c r="R63" i="2"/>
  <c r="Q63" i="2"/>
  <c r="P63" i="2"/>
  <c r="O63" i="2"/>
  <c r="N63" i="2"/>
  <c r="M63" i="2"/>
  <c r="L63" i="2"/>
  <c r="K63" i="2"/>
  <c r="J63" i="2"/>
  <c r="I63" i="2"/>
  <c r="H63" i="2"/>
  <c r="G63" i="2"/>
  <c r="F63" i="2"/>
  <c r="E63" i="2"/>
  <c r="D63" i="2"/>
  <c r="S62" i="2"/>
  <c r="R62" i="2"/>
  <c r="Q62" i="2"/>
  <c r="P62" i="2"/>
  <c r="O62" i="2"/>
  <c r="N62" i="2"/>
  <c r="M62" i="2"/>
  <c r="L62" i="2"/>
  <c r="K62" i="2"/>
  <c r="J62" i="2"/>
  <c r="I62" i="2"/>
  <c r="H62" i="2"/>
  <c r="G62" i="2"/>
  <c r="F62" i="2"/>
  <c r="E62" i="2"/>
  <c r="D62" i="2"/>
  <c r="S61" i="2"/>
  <c r="R61" i="2"/>
  <c r="Q61" i="2"/>
  <c r="P61" i="2"/>
  <c r="O61" i="2"/>
  <c r="N61" i="2"/>
  <c r="M61" i="2"/>
  <c r="L61" i="2"/>
  <c r="K61" i="2"/>
  <c r="J61" i="2"/>
  <c r="I61" i="2"/>
  <c r="H61" i="2"/>
  <c r="G61" i="2"/>
  <c r="F61" i="2"/>
  <c r="E61" i="2"/>
  <c r="D61" i="2"/>
  <c r="S60" i="2"/>
  <c r="R60" i="2"/>
  <c r="Q60" i="2"/>
  <c r="P60" i="2"/>
  <c r="O60" i="2"/>
  <c r="N60" i="2"/>
  <c r="M60" i="2"/>
  <c r="L60" i="2"/>
  <c r="K60" i="2"/>
  <c r="J60" i="2"/>
  <c r="I60" i="2"/>
  <c r="H60" i="2"/>
  <c r="G60" i="2"/>
  <c r="F60" i="2"/>
  <c r="E60" i="2"/>
  <c r="D60" i="2"/>
  <c r="S59" i="2"/>
  <c r="R59" i="2"/>
  <c r="Q59" i="2"/>
  <c r="P59" i="2"/>
  <c r="O59" i="2"/>
  <c r="N59" i="2"/>
  <c r="M59" i="2"/>
  <c r="L59" i="2"/>
  <c r="K59" i="2"/>
  <c r="J59" i="2"/>
  <c r="I59" i="2"/>
  <c r="H59" i="2"/>
  <c r="G59" i="2"/>
  <c r="F59" i="2"/>
  <c r="E59" i="2"/>
  <c r="D59" i="2"/>
  <c r="S58" i="2"/>
  <c r="R58" i="2"/>
  <c r="Q58" i="2"/>
  <c r="P58" i="2"/>
  <c r="O58" i="2"/>
  <c r="N58" i="2"/>
  <c r="M58" i="2"/>
  <c r="L58" i="2"/>
  <c r="K58" i="2"/>
  <c r="J58" i="2"/>
  <c r="I58" i="2"/>
  <c r="H58" i="2"/>
  <c r="G58" i="2"/>
  <c r="F58" i="2"/>
  <c r="E58" i="2"/>
  <c r="D58" i="2"/>
  <c r="S57" i="2"/>
  <c r="R57" i="2"/>
  <c r="Q57" i="2"/>
  <c r="P57" i="2"/>
  <c r="O57" i="2"/>
  <c r="N57" i="2"/>
  <c r="M57" i="2"/>
  <c r="L57" i="2"/>
  <c r="K57" i="2"/>
  <c r="J57" i="2"/>
  <c r="I57" i="2"/>
  <c r="H57" i="2"/>
  <c r="G57" i="2"/>
  <c r="F57" i="2"/>
  <c r="E57" i="2"/>
  <c r="D57" i="2"/>
  <c r="S56" i="2"/>
  <c r="R56" i="2"/>
  <c r="Q56" i="2"/>
  <c r="P56" i="2"/>
  <c r="O56" i="2"/>
  <c r="N56" i="2"/>
  <c r="M56" i="2"/>
  <c r="L56" i="2"/>
  <c r="K56" i="2"/>
  <c r="J56" i="2"/>
  <c r="I56" i="2"/>
  <c r="H56" i="2"/>
  <c r="G56" i="2"/>
  <c r="F56" i="2"/>
  <c r="E56" i="2"/>
  <c r="D56" i="2"/>
  <c r="S55" i="2"/>
  <c r="R55" i="2"/>
  <c r="Q55" i="2"/>
  <c r="P55" i="2"/>
  <c r="O55" i="2"/>
  <c r="N55" i="2"/>
  <c r="M55" i="2"/>
  <c r="L55" i="2"/>
  <c r="K55" i="2"/>
  <c r="J55" i="2"/>
  <c r="I55" i="2"/>
  <c r="H55" i="2"/>
  <c r="G55" i="2"/>
  <c r="F55" i="2"/>
  <c r="E55" i="2"/>
  <c r="D55" i="2"/>
  <c r="S54" i="2"/>
  <c r="R54" i="2"/>
  <c r="Q54" i="2"/>
  <c r="P54" i="2"/>
  <c r="O54" i="2"/>
  <c r="N54" i="2"/>
  <c r="M54" i="2"/>
  <c r="L54" i="2"/>
  <c r="K54" i="2"/>
  <c r="J54" i="2"/>
  <c r="I54" i="2"/>
  <c r="H54" i="2"/>
  <c r="G54" i="2"/>
  <c r="F54" i="2"/>
  <c r="E54" i="2"/>
  <c r="D54" i="2"/>
  <c r="S53" i="2"/>
  <c r="R53" i="2"/>
  <c r="Q53" i="2"/>
  <c r="P53" i="2"/>
  <c r="O53" i="2"/>
  <c r="N53" i="2"/>
  <c r="M53" i="2"/>
  <c r="L53" i="2"/>
  <c r="K53" i="2"/>
  <c r="J53" i="2"/>
  <c r="I53" i="2"/>
  <c r="H53" i="2"/>
  <c r="G53" i="2"/>
  <c r="F53" i="2"/>
  <c r="E53" i="2"/>
  <c r="D53" i="2"/>
  <c r="R52" i="2"/>
  <c r="O47" i="2"/>
  <c r="N47" i="2"/>
  <c r="M47" i="2"/>
  <c r="L47" i="2"/>
  <c r="I47" i="2"/>
  <c r="O46" i="2"/>
  <c r="N46" i="2"/>
  <c r="M46" i="2"/>
  <c r="L46" i="2"/>
  <c r="I46" i="2"/>
  <c r="B46" i="2"/>
  <c r="O45" i="2"/>
  <c r="N45" i="2"/>
  <c r="M45" i="2"/>
  <c r="L45" i="2"/>
  <c r="I45" i="2"/>
  <c r="O42" i="2"/>
  <c r="N42" i="2"/>
  <c r="M42" i="2"/>
  <c r="L42" i="2"/>
  <c r="K42" i="2"/>
  <c r="J42" i="2"/>
  <c r="I42" i="2"/>
  <c r="H42" i="2"/>
  <c r="G42" i="2"/>
  <c r="F42" i="2"/>
  <c r="E42" i="2"/>
  <c r="D42" i="2"/>
  <c r="O41" i="2"/>
  <c r="N41" i="2"/>
  <c r="M41" i="2"/>
  <c r="L41" i="2"/>
  <c r="K41" i="2"/>
  <c r="J41" i="2"/>
  <c r="I41" i="2"/>
  <c r="H41" i="2"/>
  <c r="G41" i="2"/>
  <c r="F41" i="2"/>
  <c r="E41" i="2"/>
  <c r="D41" i="2"/>
  <c r="O40" i="2"/>
  <c r="N40" i="2"/>
  <c r="M40" i="2"/>
  <c r="L40" i="2"/>
  <c r="K40" i="2"/>
  <c r="J40" i="2"/>
  <c r="I40" i="2"/>
  <c r="H40" i="2"/>
  <c r="G40" i="2"/>
  <c r="F40" i="2"/>
  <c r="E40" i="2"/>
  <c r="D40" i="2"/>
  <c r="O39" i="2"/>
  <c r="N39" i="2"/>
  <c r="M39" i="2"/>
  <c r="L39" i="2"/>
  <c r="K39" i="2"/>
  <c r="J39" i="2"/>
  <c r="I39" i="2"/>
  <c r="H39" i="2"/>
  <c r="G39" i="2"/>
  <c r="F39" i="2"/>
  <c r="E39" i="2"/>
  <c r="D39" i="2"/>
  <c r="O38" i="2"/>
  <c r="N38" i="2"/>
  <c r="M38" i="2"/>
  <c r="L38" i="2"/>
  <c r="K38" i="2"/>
  <c r="J38" i="2"/>
  <c r="I38" i="2"/>
  <c r="H38" i="2"/>
  <c r="G38" i="2"/>
  <c r="F38" i="2"/>
  <c r="E38" i="2"/>
  <c r="D38" i="2"/>
  <c r="O37" i="2"/>
  <c r="N37" i="2"/>
  <c r="M37" i="2"/>
  <c r="L37" i="2"/>
  <c r="K37" i="2"/>
  <c r="J37" i="2"/>
  <c r="I37" i="2"/>
  <c r="H37" i="2"/>
  <c r="G37" i="2"/>
  <c r="F37" i="2"/>
  <c r="E37" i="2"/>
  <c r="D37" i="2"/>
  <c r="O36" i="2"/>
  <c r="N36" i="2"/>
  <c r="M36" i="2"/>
  <c r="L36" i="2"/>
  <c r="K36" i="2"/>
  <c r="J36" i="2"/>
  <c r="I36" i="2"/>
  <c r="H36" i="2"/>
  <c r="G36" i="2"/>
  <c r="F36" i="2"/>
  <c r="E36" i="2"/>
  <c r="D36" i="2"/>
  <c r="O35" i="2"/>
  <c r="N35" i="2"/>
  <c r="M35" i="2"/>
  <c r="L35" i="2"/>
  <c r="K35" i="2"/>
  <c r="J35" i="2"/>
  <c r="I35" i="2"/>
  <c r="H35" i="2"/>
  <c r="G35" i="2"/>
  <c r="F35" i="2"/>
  <c r="E35" i="2"/>
  <c r="D35" i="2"/>
  <c r="O34" i="2"/>
  <c r="N34" i="2"/>
  <c r="M34" i="2"/>
  <c r="L34" i="2"/>
  <c r="K34" i="2"/>
  <c r="J34" i="2"/>
  <c r="I34" i="2"/>
  <c r="H34" i="2"/>
  <c r="G34" i="2"/>
  <c r="F34" i="2"/>
  <c r="E34" i="2"/>
  <c r="D34" i="2"/>
  <c r="O32" i="2"/>
  <c r="N32" i="2"/>
  <c r="M32" i="2"/>
  <c r="L32" i="2"/>
  <c r="K32" i="2"/>
  <c r="J32" i="2"/>
  <c r="I32" i="2"/>
  <c r="H32" i="2"/>
  <c r="G32" i="2"/>
  <c r="F32" i="2"/>
  <c r="E32" i="2"/>
  <c r="D32" i="2"/>
  <c r="O31" i="2"/>
  <c r="N31" i="2"/>
  <c r="M31" i="2"/>
  <c r="L31" i="2"/>
  <c r="K31" i="2"/>
  <c r="J31" i="2"/>
  <c r="I31" i="2"/>
  <c r="H31" i="2"/>
  <c r="G31" i="2"/>
  <c r="F31" i="2"/>
  <c r="E31" i="2"/>
  <c r="D31" i="2"/>
  <c r="O30" i="2"/>
  <c r="N30" i="2"/>
  <c r="M30" i="2"/>
  <c r="L30" i="2"/>
  <c r="K30" i="2"/>
  <c r="J30" i="2"/>
  <c r="I30" i="2"/>
  <c r="H30" i="2"/>
  <c r="G30" i="2"/>
  <c r="F30" i="2"/>
  <c r="E30" i="2"/>
  <c r="D30" i="2"/>
  <c r="O29" i="2"/>
  <c r="N29" i="2"/>
  <c r="M29" i="2"/>
  <c r="L29" i="2"/>
  <c r="K29" i="2"/>
  <c r="J29" i="2"/>
  <c r="I29" i="2"/>
  <c r="H29" i="2"/>
  <c r="G29" i="2"/>
  <c r="F29" i="2"/>
  <c r="E29" i="2"/>
  <c r="D29" i="2"/>
  <c r="O28" i="2"/>
  <c r="N28" i="2"/>
  <c r="M28" i="2"/>
  <c r="L28" i="2"/>
  <c r="K28" i="2"/>
  <c r="J28" i="2"/>
  <c r="I28" i="2"/>
  <c r="H28" i="2"/>
  <c r="G28" i="2"/>
  <c r="F28" i="2"/>
  <c r="E28" i="2"/>
  <c r="D28" i="2"/>
  <c r="O27" i="2"/>
  <c r="N27" i="2"/>
  <c r="M27" i="2"/>
  <c r="L27" i="2"/>
  <c r="K27" i="2"/>
  <c r="J27" i="2"/>
  <c r="I27" i="2"/>
  <c r="H27" i="2"/>
  <c r="G27" i="2"/>
  <c r="F27" i="2"/>
  <c r="E27" i="2"/>
  <c r="D27" i="2"/>
  <c r="O26" i="2"/>
  <c r="N26" i="2"/>
  <c r="M26" i="2"/>
  <c r="L26" i="2"/>
  <c r="K26" i="2"/>
  <c r="J26" i="2"/>
  <c r="I26" i="2"/>
  <c r="H26" i="2"/>
  <c r="G26" i="2"/>
  <c r="F26" i="2"/>
  <c r="E26" i="2"/>
  <c r="D26" i="2"/>
  <c r="O25" i="2"/>
  <c r="N25" i="2"/>
  <c r="M25" i="2"/>
  <c r="L25" i="2"/>
  <c r="K25" i="2"/>
  <c r="J25" i="2"/>
  <c r="I25" i="2"/>
  <c r="H25" i="2"/>
  <c r="G25" i="2"/>
  <c r="F25" i="2"/>
  <c r="E25" i="2"/>
  <c r="D25" i="2"/>
  <c r="O24" i="2"/>
  <c r="N24" i="2"/>
  <c r="M24" i="2"/>
  <c r="L24" i="2"/>
  <c r="K24" i="2"/>
  <c r="J24" i="2"/>
  <c r="I24" i="2"/>
  <c r="H24" i="2"/>
  <c r="G24" i="2"/>
  <c r="F24" i="2"/>
  <c r="E24" i="2"/>
  <c r="D24" i="2"/>
  <c r="O22" i="2"/>
  <c r="N22" i="2"/>
  <c r="M22" i="2"/>
  <c r="L22" i="2"/>
  <c r="K22" i="2"/>
  <c r="J22" i="2"/>
  <c r="I22" i="2"/>
  <c r="H22" i="2"/>
  <c r="G22" i="2"/>
  <c r="F22" i="2"/>
  <c r="E22" i="2"/>
  <c r="D22" i="2"/>
  <c r="O21" i="2"/>
  <c r="N21" i="2"/>
  <c r="M21" i="2"/>
  <c r="L21" i="2"/>
  <c r="K21" i="2"/>
  <c r="J21" i="2"/>
  <c r="I21" i="2"/>
  <c r="H21" i="2"/>
  <c r="G21" i="2"/>
  <c r="F21" i="2"/>
  <c r="E21" i="2"/>
  <c r="D21" i="2"/>
  <c r="O20" i="2"/>
  <c r="N20" i="2"/>
  <c r="M20" i="2"/>
  <c r="L20" i="2"/>
  <c r="K20" i="2"/>
  <c r="J20" i="2"/>
  <c r="I20" i="2"/>
  <c r="H20" i="2"/>
  <c r="G20" i="2"/>
  <c r="F20" i="2"/>
  <c r="E20" i="2"/>
  <c r="D20" i="2"/>
  <c r="O19" i="2"/>
  <c r="N19" i="2"/>
  <c r="M19" i="2"/>
  <c r="L19" i="2"/>
  <c r="K19" i="2"/>
  <c r="J19" i="2"/>
  <c r="I19" i="2"/>
  <c r="H19" i="2"/>
  <c r="G19" i="2"/>
  <c r="F19" i="2"/>
  <c r="E19" i="2"/>
  <c r="D19" i="2"/>
  <c r="O18" i="2"/>
  <c r="N18" i="2"/>
  <c r="M18" i="2"/>
  <c r="L18" i="2"/>
  <c r="K18" i="2"/>
  <c r="J18" i="2"/>
  <c r="I18" i="2"/>
  <c r="H18" i="2"/>
  <c r="G18" i="2"/>
  <c r="F18" i="2"/>
  <c r="E18" i="2"/>
  <c r="D18" i="2"/>
  <c r="O17" i="2"/>
  <c r="N17" i="2"/>
  <c r="M17" i="2"/>
  <c r="L17" i="2"/>
  <c r="K17" i="2"/>
  <c r="J17" i="2"/>
  <c r="I17" i="2"/>
  <c r="H17" i="2"/>
  <c r="G17" i="2"/>
  <c r="F17" i="2"/>
  <c r="E17" i="2"/>
  <c r="D17" i="2"/>
  <c r="O16" i="2"/>
  <c r="N16" i="2"/>
  <c r="M16" i="2"/>
  <c r="L16" i="2"/>
  <c r="K16" i="2"/>
  <c r="J16" i="2"/>
  <c r="I16" i="2"/>
  <c r="H16" i="2"/>
  <c r="G16" i="2"/>
  <c r="F16" i="2"/>
  <c r="E16" i="2"/>
  <c r="D16" i="2"/>
  <c r="O15" i="2"/>
  <c r="N15" i="2"/>
  <c r="M15" i="2"/>
  <c r="L15" i="2"/>
  <c r="K15" i="2"/>
  <c r="J15" i="2"/>
  <c r="I15" i="2"/>
  <c r="H15" i="2"/>
  <c r="G15" i="2"/>
  <c r="F15" i="2"/>
  <c r="E15" i="2"/>
  <c r="D15" i="2"/>
  <c r="O14" i="2"/>
  <c r="N14" i="2"/>
  <c r="M14" i="2"/>
  <c r="L14" i="2"/>
  <c r="K14" i="2"/>
  <c r="J14" i="2"/>
  <c r="I14" i="2"/>
  <c r="H14" i="2"/>
  <c r="G14" i="2"/>
  <c r="F14" i="2"/>
  <c r="E14" i="2"/>
  <c r="D14" i="2"/>
  <c r="V12" i="2"/>
  <c r="S12" i="2"/>
  <c r="U12" i="2" s="1"/>
  <c r="O12" i="2"/>
  <c r="N12" i="2"/>
  <c r="M12" i="2"/>
  <c r="L12" i="2"/>
  <c r="K12" i="2"/>
  <c r="J12" i="2"/>
  <c r="I12" i="2"/>
  <c r="H12" i="2"/>
  <c r="G12" i="2"/>
  <c r="F12" i="2"/>
  <c r="E12" i="2"/>
  <c r="D12" i="2"/>
  <c r="O11" i="2"/>
  <c r="S11" i="2" s="1"/>
  <c r="N11" i="2"/>
  <c r="M11" i="2"/>
  <c r="L11" i="2"/>
  <c r="K11" i="2"/>
  <c r="J11" i="2"/>
  <c r="I11" i="2"/>
  <c r="H11" i="2"/>
  <c r="G11" i="2"/>
  <c r="F11" i="2"/>
  <c r="E11" i="2"/>
  <c r="D11" i="2"/>
  <c r="O10" i="2"/>
  <c r="S10" i="2" s="1"/>
  <c r="N10" i="2"/>
  <c r="M10" i="2"/>
  <c r="L10" i="2"/>
  <c r="K10" i="2"/>
  <c r="J10" i="2"/>
  <c r="I10" i="2"/>
  <c r="H10" i="2"/>
  <c r="G10" i="2"/>
  <c r="F10" i="2"/>
  <c r="E10" i="2"/>
  <c r="D10" i="2"/>
  <c r="V9" i="2"/>
  <c r="S9" i="2"/>
  <c r="W9" i="2" s="1"/>
  <c r="O9" i="2"/>
  <c r="N9" i="2"/>
  <c r="M9" i="2"/>
  <c r="L9" i="2"/>
  <c r="K9" i="2"/>
  <c r="J9" i="2"/>
  <c r="I9" i="2"/>
  <c r="H9" i="2"/>
  <c r="G9" i="2"/>
  <c r="F9" i="2"/>
  <c r="E9" i="2"/>
  <c r="D9" i="2"/>
  <c r="O8" i="2"/>
  <c r="S8" i="2" s="1"/>
  <c r="N8" i="2"/>
  <c r="M8" i="2"/>
  <c r="L8" i="2"/>
  <c r="K8" i="2"/>
  <c r="J8" i="2"/>
  <c r="I8" i="2"/>
  <c r="H8" i="2"/>
  <c r="G8" i="2"/>
  <c r="F8" i="2"/>
  <c r="E8" i="2"/>
  <c r="D8" i="2"/>
  <c r="S7" i="2"/>
  <c r="W7" i="2" s="1"/>
  <c r="O7" i="2"/>
  <c r="N7" i="2"/>
  <c r="M7" i="2"/>
  <c r="L7" i="2"/>
  <c r="K7" i="2"/>
  <c r="J7" i="2"/>
  <c r="I7" i="2"/>
  <c r="H7" i="2"/>
  <c r="G7" i="2"/>
  <c r="F7" i="2"/>
  <c r="E7" i="2"/>
  <c r="D7" i="2"/>
  <c r="O6" i="2"/>
  <c r="S6" i="2" s="1"/>
  <c r="N6" i="2"/>
  <c r="M6" i="2"/>
  <c r="L6" i="2"/>
  <c r="K6" i="2"/>
  <c r="J6" i="2"/>
  <c r="I6" i="2"/>
  <c r="H6" i="2"/>
  <c r="G6" i="2"/>
  <c r="F6" i="2"/>
  <c r="E6" i="2"/>
  <c r="D6" i="2"/>
  <c r="O5" i="2"/>
  <c r="S5" i="2" s="1"/>
  <c r="N5" i="2"/>
  <c r="M5" i="2"/>
  <c r="L5" i="2"/>
  <c r="K5" i="2"/>
  <c r="J5" i="2"/>
  <c r="I5" i="2"/>
  <c r="H5" i="2"/>
  <c r="G5" i="2"/>
  <c r="F5" i="2"/>
  <c r="E5" i="2"/>
  <c r="D5" i="2"/>
  <c r="V4" i="2"/>
  <c r="S4" i="2"/>
  <c r="U4" i="2" s="1"/>
  <c r="O4" i="2"/>
  <c r="N4" i="2"/>
  <c r="M4" i="2"/>
  <c r="L4" i="2"/>
  <c r="K4" i="2"/>
  <c r="J4" i="2"/>
  <c r="I4" i="2"/>
  <c r="H4" i="2"/>
  <c r="G4" i="2"/>
  <c r="F4" i="2"/>
  <c r="E4" i="2"/>
  <c r="D4" i="2"/>
  <c r="U2" i="2"/>
  <c r="T6" i="2" l="1"/>
  <c r="V6" i="2"/>
  <c r="W6" i="2"/>
  <c r="U6" i="2"/>
  <c r="W8" i="2"/>
  <c r="V8" i="2"/>
  <c r="T8" i="2"/>
  <c r="U8" i="2"/>
  <c r="J135" i="2"/>
  <c r="J136" i="2" s="1"/>
  <c r="I135" i="2"/>
  <c r="I136" i="2" s="1"/>
  <c r="H135" i="2"/>
  <c r="H136" i="2" s="1"/>
  <c r="G135" i="2"/>
  <c r="G136" i="2" s="1"/>
  <c r="T5" i="2"/>
  <c r="U5" i="2"/>
  <c r="W5" i="2"/>
  <c r="V5" i="2"/>
  <c r="W10" i="2"/>
  <c r="V10" i="2"/>
  <c r="U10" i="2"/>
  <c r="T10" i="2"/>
  <c r="V11" i="2"/>
  <c r="T11" i="2"/>
  <c r="U11" i="2"/>
  <c r="W11" i="2"/>
  <c r="W4" i="2"/>
  <c r="T7" i="2"/>
  <c r="W12" i="2"/>
  <c r="U7" i="2"/>
  <c r="S13" i="2"/>
  <c r="V7" i="2"/>
  <c r="T9" i="2"/>
  <c r="U9" i="2"/>
  <c r="G129" i="2"/>
  <c r="T4" i="2"/>
  <c r="T12" i="2"/>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<sst xmlns="http://schemas.openxmlformats.org/spreadsheetml/2006/main" count="312" uniqueCount="200">
  <si>
    <t>Spezifischer Leistungsbedarf verschiedener Gebäudearten und Baujahre</t>
  </si>
  <si>
    <t>Wohnfläche m² /
    Kesselleistung kW</t>
  </si>
  <si>
    <t xml:space="preserve">Vollbenutzungsstunden (h/a) </t>
  </si>
  <si>
    <t xml:space="preserve">Kosten </t>
  </si>
  <si>
    <t xml:space="preserve">Heizöl leicht </t>
  </si>
  <si>
    <t xml:space="preserve">Erdgas </t>
  </si>
  <si>
    <t>Baujahr / Gebäudeart</t>
  </si>
  <si>
    <t>Einfamilien-haus, freistehend</t>
  </si>
  <si>
    <t>0,06 € je kWh</t>
  </si>
  <si>
    <t>bis 1958</t>
  </si>
  <si>
    <r>
      <t>180 W/m</t>
    </r>
    <r>
      <rPr>
        <vertAlign val="superscript"/>
        <sz val="10"/>
        <color theme="1"/>
        <rFont val="Arial"/>
        <family val="2"/>
      </rPr>
      <t>2</t>
    </r>
  </si>
  <si>
    <t>1959-68</t>
  </si>
  <si>
    <r>
      <t>170 W/m</t>
    </r>
    <r>
      <rPr>
        <vertAlign val="superscript"/>
        <sz val="10"/>
        <color theme="1"/>
        <rFont val="Arial"/>
        <family val="2"/>
      </rPr>
      <t>2</t>
    </r>
  </si>
  <si>
    <t>1969-73</t>
  </si>
  <si>
    <r>
      <t>150 W/m</t>
    </r>
    <r>
      <rPr>
        <vertAlign val="superscript"/>
        <sz val="10"/>
        <color theme="1"/>
        <rFont val="Arial"/>
        <family val="2"/>
      </rPr>
      <t>2</t>
    </r>
  </si>
  <si>
    <t>1974-77</t>
  </si>
  <si>
    <r>
      <t>115 W/m</t>
    </r>
    <r>
      <rPr>
        <vertAlign val="superscript"/>
        <sz val="10"/>
        <color theme="1"/>
        <rFont val="Arial"/>
        <family val="2"/>
      </rPr>
      <t>2</t>
    </r>
  </si>
  <si>
    <t>1978-83</t>
  </si>
  <si>
    <r>
      <t>95 W/m</t>
    </r>
    <r>
      <rPr>
        <vertAlign val="superscript"/>
        <sz val="10"/>
        <color theme="1"/>
        <rFont val="Arial"/>
        <family val="2"/>
      </rPr>
      <t>2</t>
    </r>
  </si>
  <si>
    <t>1984-94</t>
  </si>
  <si>
    <r>
      <t>75 W/m</t>
    </r>
    <r>
      <rPr>
        <vertAlign val="superscript"/>
        <sz val="10"/>
        <color theme="1"/>
        <rFont val="Arial"/>
        <family val="2"/>
      </rPr>
      <t>2</t>
    </r>
  </si>
  <si>
    <t>ab 1995</t>
  </si>
  <si>
    <r>
      <t>60 W/m</t>
    </r>
    <r>
      <rPr>
        <vertAlign val="superscript"/>
        <sz val="10"/>
        <color theme="1"/>
        <rFont val="Arial"/>
        <family val="2"/>
      </rPr>
      <t>2</t>
    </r>
  </si>
  <si>
    <t>KfW 55</t>
  </si>
  <si>
    <r>
      <t>35 W/m</t>
    </r>
    <r>
      <rPr>
        <vertAlign val="superscript"/>
        <sz val="10"/>
        <color theme="1"/>
        <rFont val="Arial"/>
        <family val="2"/>
      </rPr>
      <t>2</t>
    </r>
  </si>
  <si>
    <t>KfW 40</t>
  </si>
  <si>
    <r>
      <t>15 W/m</t>
    </r>
    <r>
      <rPr>
        <vertAlign val="superscript"/>
        <sz val="10"/>
        <color theme="1"/>
        <rFont val="Arial"/>
        <family val="2"/>
      </rPr>
      <t>2</t>
    </r>
  </si>
  <si>
    <t>Reihenend-haus</t>
  </si>
  <si>
    <r>
      <t>160 W/m</t>
    </r>
    <r>
      <rPr>
        <vertAlign val="superscript"/>
        <sz val="10"/>
        <color theme="1"/>
        <rFont val="Arial"/>
        <family val="2"/>
      </rPr>
      <t>2</t>
    </r>
  </si>
  <si>
    <t>Wachsmasse: m = 15g</t>
  </si>
  <si>
    <r>
      <t>130 W/m</t>
    </r>
    <r>
      <rPr>
        <vertAlign val="superscript"/>
        <sz val="10"/>
        <color theme="1"/>
        <rFont val="Arial"/>
        <family val="2"/>
      </rPr>
      <t>2</t>
    </r>
  </si>
  <si>
    <t>Brenndauer: t = 4,5h</t>
  </si>
  <si>
    <r>
      <t>110 W/m</t>
    </r>
    <r>
      <rPr>
        <vertAlign val="superscript"/>
        <sz val="10"/>
        <color theme="1"/>
        <rFont val="Arial"/>
        <family val="2"/>
      </rPr>
      <t>2</t>
    </r>
  </si>
  <si>
    <t>Hinweis: Dies sind Werte eines typischen Teelichts aus dem Supermarkt.</t>
  </si>
  <si>
    <r>
      <t>90 W/m</t>
    </r>
    <r>
      <rPr>
        <vertAlign val="superscript"/>
        <sz val="10"/>
        <color theme="1"/>
        <rFont val="Arial"/>
        <family val="2"/>
      </rPr>
      <t>2</t>
    </r>
  </si>
  <si>
    <t>Ein Teelicht wurde früher vor allem benutzt um Tee warmzuhalten. Das Teelicht ist eine kleine Kerze in einem Behälter. Heute erfüllt dieses weitere Funktionen, beispielsweise als Raumbeleuchtung. Um die Heizleistung zu messen, gibt es mehrere Optionen. Eine Möglichkeit wäre einen Topf Wasser mit dem Teelicht zu erwärmen und über die Wassermenge und Temperaturerhöhung innerhalb einer Zeitspanne die Heizleistung zu berechnen. So ein Messaufbau wäre fehleranfällig und praktisch nicht in der Lage die Heizleistung des Teelichts oder eine Kerze vernünftig zu bestimmen. Beispielsweise wird nicht die gesamte Heizleistung in das Wasser gebracht. Dieser Messaufbau wird aufgrund weiterer Nachteile nicht weiter verfolgt.</t>
  </si>
  <si>
    <r>
      <t>70 W/m</t>
    </r>
    <r>
      <rPr>
        <vertAlign val="superscript"/>
        <sz val="10"/>
        <color theme="1"/>
        <rFont val="Arial"/>
        <family val="2"/>
      </rPr>
      <t>2</t>
    </r>
  </si>
  <si>
    <t>Da die Materialdaten von Wachs gut bekannt sind, bietet es sich vielmehr an über den Gewichtsverlust des Wachses die Heizleistung zu berechnen. Diese Methode ist genau, schnell und leicht umzusetzen. Schon einfache Überlegungen können bei so einer Fragestellung viel Zeit sparen.</t>
  </si>
  <si>
    <r>
      <t>55 W/m</t>
    </r>
    <r>
      <rPr>
        <vertAlign val="superscript"/>
        <sz val="10"/>
        <color theme="1"/>
        <rFont val="Arial"/>
        <family val="2"/>
      </rPr>
      <t>2</t>
    </r>
  </si>
  <si>
    <t xml:space="preserve">Heizwert von Paraffin: Bild </t>
  </si>
  <si>
    <t>Reihenmittel-haus</t>
  </si>
  <si>
    <t>Lösung</t>
  </si>
  <si>
    <r>
      <t>140 W/m</t>
    </r>
    <r>
      <rPr>
        <vertAlign val="superscript"/>
        <sz val="10"/>
        <color theme="1"/>
        <rFont val="Arial"/>
        <family val="2"/>
      </rPr>
      <t>2</t>
    </r>
  </si>
  <si>
    <t>Das Teelicht hat eine Heizleistung von ca. 42 Watt.</t>
  </si>
  <si>
    <r>
      <t>120 W/m</t>
    </r>
    <r>
      <rPr>
        <vertAlign val="superscript"/>
        <sz val="10"/>
        <color theme="1"/>
        <rFont val="Arial"/>
        <family val="2"/>
      </rPr>
      <t>2</t>
    </r>
  </si>
  <si>
    <t>https://www.technik-consulting.eu/Wissenschaft/Teelicht.html</t>
  </si>
  <si>
    <r>
      <t>100 W/m</t>
    </r>
    <r>
      <rPr>
        <vertAlign val="superscript"/>
        <sz val="10"/>
        <color theme="1"/>
        <rFont val="Arial"/>
        <family val="2"/>
      </rPr>
      <t>2</t>
    </r>
  </si>
  <si>
    <t>1 qm Wohnfläche braucht im Neubau 15W/m² * 2.000 Volllaststunden = 30.000W / 1000 = 30kWh</t>
  </si>
  <si>
    <r>
      <t>85 W/m</t>
    </r>
    <r>
      <rPr>
        <vertAlign val="superscript"/>
        <sz val="10"/>
        <color theme="1"/>
        <rFont val="Arial"/>
        <family val="2"/>
      </rPr>
      <t>2</t>
    </r>
  </si>
  <si>
    <t>1 Teelicht brennt 60Minuten = 42Wh | 100 Teelichter = 4.200 Watt bei 4,5h Brenndauer 18.900 Watt /1.000 = 18,9kWh</t>
  </si>
  <si>
    <t>Also werden 3l ÖL im Jahr oder 1,6 Packungen Teelichter im Jahr gebraucht!</t>
  </si>
  <si>
    <r>
      <t>65 W/m</t>
    </r>
    <r>
      <rPr>
        <vertAlign val="superscript"/>
        <sz val="10"/>
        <color theme="1"/>
        <rFont val="Arial"/>
        <family val="2"/>
      </rPr>
      <t>2</t>
    </r>
  </si>
  <si>
    <t xml:space="preserve">1 Teelicht brennt 42W * 2000h Volllaststunden = 84.000Wh / 1000 = 84kWh (2000h / 4,5h= 444 Teelichter für 2000h) </t>
  </si>
  <si>
    <r>
      <t>50 W/m</t>
    </r>
    <r>
      <rPr>
        <vertAlign val="superscript"/>
        <sz val="10"/>
        <color theme="1"/>
        <rFont val="Arial"/>
        <family val="2"/>
      </rPr>
      <t>2</t>
    </r>
  </si>
  <si>
    <t xml:space="preserve">Die erforderliche Heizenergie im Jahr sind 4000kWh /84kWh = 47,6 * 444  =21.142 Teelichter </t>
  </si>
  <si>
    <t>Mehrfamilien-haus &lt; 8 WE</t>
  </si>
  <si>
    <r>
      <t>45 W/m</t>
    </r>
    <r>
      <rPr>
        <vertAlign val="superscript"/>
        <sz val="10"/>
        <color theme="1"/>
        <rFont val="Arial"/>
        <family val="2"/>
      </rPr>
      <t>2</t>
    </r>
  </si>
  <si>
    <r>
      <rPr>
        <b/>
        <sz val="12"/>
        <color theme="1"/>
        <rFont val="Arial"/>
        <family val="2"/>
      </rPr>
      <t>Warmwasserbereitung</t>
    </r>
    <r>
      <rPr>
        <sz val="11"/>
        <color theme="1"/>
        <rFont val="Calibri"/>
        <family val="2"/>
        <scheme val="minor"/>
      </rPr>
      <t xml:space="preserve"> = 12 kWh/m² x Wohnfläche</t>
    </r>
  </si>
  <si>
    <t>kWh/a pro Person</t>
  </si>
  <si>
    <t>1 Person</t>
  </si>
  <si>
    <t>2 Person</t>
  </si>
  <si>
    <t>3 Person</t>
  </si>
  <si>
    <t>4 Person</t>
  </si>
  <si>
    <t>5 Person</t>
  </si>
  <si>
    <t>12 kWh/m² x 200 m² = 2.400 kWh (nach Norm)</t>
  </si>
  <si>
    <t>EFH ohne Zirkulation 800 kWh /a</t>
  </si>
  <si>
    <t>EFH mit Zirkulation 1500 kWh/a</t>
  </si>
  <si>
    <t>Kosten</t>
  </si>
  <si>
    <t>€  je kWh</t>
  </si>
  <si>
    <t>MFH mit Zirkulation 1300 kWh/a</t>
  </si>
  <si>
    <t>Vollbenutzungsstunden (h/a)  / 
     Heizwärmebedarf kWh/a</t>
  </si>
  <si>
    <t>MFH</t>
  </si>
  <si>
    <t>EFH</t>
  </si>
  <si>
    <t>Heizleistung KW</t>
  </si>
  <si>
    <t>Energieverbrauch</t>
  </si>
  <si>
    <t xml:space="preserve">Heizlastabschätzung </t>
  </si>
  <si>
    <r>
      <t xml:space="preserve">Notwendige </t>
    </r>
    <r>
      <rPr>
        <sz val="11"/>
        <color theme="1"/>
        <rFont val="Calibri"/>
        <family val="2"/>
      </rPr>
      <t>temperaturen in der Wasserinstallationsanlage:</t>
    </r>
  </si>
  <si>
    <r>
      <t xml:space="preserve">Messstelle </t>
    </r>
    <r>
      <rPr>
        <sz val="10"/>
        <color theme="1"/>
        <rFont val="Calibri"/>
        <family val="2"/>
      </rPr>
      <t>Temperatur (in °C)</t>
    </r>
  </si>
  <si>
    <t>Nennleistung</t>
  </si>
  <si>
    <t>kW</t>
  </si>
  <si>
    <t>Typenschild</t>
  </si>
  <si>
    <t xml:space="preserve"> Betriebsstunden gemessen</t>
  </si>
  <si>
    <t>h/ a</t>
  </si>
  <si>
    <t>Messung aus Anlage</t>
  </si>
  <si>
    <t>Kaltwasser</t>
  </si>
  <si>
    <t>&lt; 25</t>
  </si>
  <si>
    <t xml:space="preserve"> Betriebsstunden annahme</t>
  </si>
  <si>
    <t>Annahme</t>
  </si>
  <si>
    <t>Trinkwasser, warm (TWW)</t>
  </si>
  <si>
    <t>≥ 60</t>
  </si>
  <si>
    <t xml:space="preserve">fDim = PN / Ptot </t>
  </si>
  <si>
    <r>
      <t>TWW</t>
    </r>
    <r>
      <rPr>
        <sz val="11"/>
        <color theme="1"/>
        <rFont val="Calibri"/>
        <family val="2"/>
      </rPr>
      <t>­ Zirkulation, Eingang Speicher</t>
    </r>
  </si>
  <si>
    <t>≥ 55</t>
  </si>
  <si>
    <r>
      <t>zu vermeidender Temperaturbereich</t>
    </r>
    <r>
      <rPr>
        <sz val="11"/>
        <color theme="1"/>
        <rFont val="Calibri"/>
        <family val="2"/>
      </rPr>
      <t xml:space="preserve"> </t>
    </r>
  </si>
  <si>
    <t>25-54</t>
  </si>
  <si>
    <t>Tipp: Erneuerbare Energie (Wärmepumpen, Holzheizungen, Solaranlagen …)</t>
  </si>
  <si>
    <t xml:space="preserve">Die Gebäudehülle ist oftmals nur bedingt energetisch ertüchtigt:
-oft ergeben sich daraus hohe Heizlasten (Leistung des Wärmeerzeugers);
-hohe Vorlauftemperaturen werden für die Wärmeabgabe über Heizkörper erforderlich, bei Fächenheizungen ist die Vorlauftemperaturen oft gering und eine Wärmepumpe ist möglich;
-Begrenzter Platzbedarf unter Fenstern im Außenwandbereich und/oder nicht ausreichende Fläche für Niedertemperatursysteme oder Installation eines Gebläsekonvektors (z.B. AUK), aber alte Gusradiatoren sollten ausgetascht werden, hier ist der Vorlauf sehr hoch und kann durch Plattenheizköper getauscht werden.
</t>
  </si>
  <si>
    <t>Für die Planungsphase: 
-Betrieb der WP (monovalent oder bivalent) oder hybrieb klären/fixieren;
-Soll eine Kühlung realisiert werden? (oft nicht Gegenstand der Betrachtung)
-Soll eine PV Anlage den WP Strom bereitstellen?
-Investitionsrahmen für die Gesamtmaßnahme;
-Schallschutz ist zu beachten;
-Erwartungshaltung über Wirtschaftlichkeit der Sanierungsmaßnahme
-Beachtung der ggf. denkmalrechtlichen Randbedingungen;
-Auswahl des Wärmeerzeugers für Gesamtlast oder für Grundlast und Spitzenlast
-Festlegung des idealen Leistungs- und Deckungsanteils an dem Heizbedarf unter Berücksichtigung der Nutzer
-Anforderungen an das Projekt, z.B. der Wirtschaftlichkeit, Zeit, Qualität, Positiv &amp; negativ Liste zB. Dinge die nicht gewollt oder zulässig sind.
-Planung der Betriebsweise und Festlegung des Auslegungspunktes für jeden Erzeuger
-Wahl einer geeigneten Anlagenhydraulik
-Definition eines geeigneten regelungstechnischen Konzeptes
-Herstellervorgaben beachten.</t>
  </si>
  <si>
    <t>Heizlast nach Norm abschätzen</t>
  </si>
  <si>
    <t>https://www.iwu.de/publikationen/fachinformationen/energiebilanzen/#c205</t>
  </si>
  <si>
    <t>Verbrauch laut Rechnung (in kWh &amp; Brennwert bezogen)</t>
  </si>
  <si>
    <t>Monat</t>
  </si>
  <si>
    <t>[d]</t>
  </si>
  <si>
    <t>[Kd]</t>
  </si>
  <si>
    <t>[°C]</t>
  </si>
  <si>
    <t>Energieträger</t>
  </si>
  <si>
    <t xml:space="preserve">Erdgas, Biogas </t>
  </si>
  <si>
    <t>Wohnfläche</t>
  </si>
  <si>
    <t>Personenanzahl</t>
  </si>
  <si>
    <t>personenspezifische Trinkwarmwasserbedarf, in l/dP (Vp)</t>
  </si>
  <si>
    <t>Hinweis nach DIN 12831 30l/dP</t>
  </si>
  <si>
    <t>Gradtagzahl im Zeitraum der Verbrauchsmessung, z. B. G_{{15/15}}, in Kd/a (G)</t>
  </si>
  <si>
    <t>Daten unter https://www.iwu.de/publikationen/fachinformationen/energiebilanzen/#c205</t>
  </si>
  <si>
    <t>Heizgrenztemperatur, in °C (ϑHG oder ϑed)</t>
  </si>
  <si>
    <t>mittlere Außentemperatur während der Heizperiode, in °C (ϑm,HG oder ϑm,ed)</t>
  </si>
  <si>
    <t>Auslegungsaußentemperatur, in °C (ϑe)</t>
  </si>
  <si>
    <t>Daten nach DIN 12831 zu finden unter https://www.stiebel-eltron.de/toolbox/heizlast/</t>
  </si>
  <si>
    <t>https://www.stiebel-eltron.de/toolbox/heizlast/</t>
  </si>
  <si>
    <t>Trinkwassererwärmung ist ohne Zirkulation oder mit Zirkulation</t>
  </si>
  <si>
    <t>ohne Zirkulation</t>
  </si>
  <si>
    <t>Trinkwassererwärmung ist "gruppenweise, wohnungszentral" oder "gebäudezentral"</t>
  </si>
  <si>
    <t>gebäudezentral</t>
  </si>
  <si>
    <t>Vorschlagswert Wärmeerzeuger-Nutzungsgrade zur Trinkwassererwärmung</t>
  </si>
  <si>
    <t>Vorschlagswert/ Genaue eingabe Wärmeerzeuger-Nutzungsgrad zur Trinkwassererwärmung</t>
  </si>
  <si>
    <t>Baualter des vorhandenen Wärmeerzeugers</t>
  </si>
  <si>
    <t>vor 1980</t>
  </si>
  <si>
    <t>Technik / Art des vorhandenen Wärmeerzeugers</t>
  </si>
  <si>
    <t>Brennwertkessel/ Fernwärme</t>
  </si>
  <si>
    <t>Anhaltswerte für Wärmeerzeuger-Nutzungsgrade für Beheizung, heizwertbezogen (nh,gen,HI)</t>
  </si>
  <si>
    <t>Umrechnungsfaktor für die Endenergie fHS/HI</t>
  </si>
  <si>
    <t>Nutzungsgrad der Wärmeerzeugungsanlage (nh,gen,HS)</t>
  </si>
  <si>
    <t>Verbrauch in kWh &amp; Heizwert bezogen (Qh,outg,i)</t>
  </si>
  <si>
    <t>Nutzenergie TWE nach Volumenstrom nach Wohnfläche kWh im Jahr  (Qw,b)</t>
  </si>
  <si>
    <t>Nutzenergie TWE nach Volumenstrom kWh im Jahr  (Qw,b)</t>
  </si>
  <si>
    <t>Vorschlagswert Nutzenergie TWE nkWh im Jahr  (Qw,b)</t>
  </si>
  <si>
    <t>Vollbenutzungsstundenzahl der Wärmeerzeugungsanlage, in h (bVF) nach Grdtagszahlen</t>
  </si>
  <si>
    <t>Vollbenutzungsstundenzahl der Wärmeerzeugungsanlage, in h (bVF) nach Belastungsgrad</t>
  </si>
  <si>
    <t>Vorschlagswert Vollbenutzungsstundenzahl der Wärmeerzeugungsanlage, in h (bVF)</t>
  </si>
  <si>
    <t>Betriebszeit der Wärmeerzeugungsanlage, hier 8760, in h;</t>
  </si>
  <si>
    <t>mittlerer Belastungsgrad der Wärmeerzeugungsanlage für Beheizung im Betrachtungszeitraum (ßm,t)</t>
  </si>
  <si>
    <t>mit Trinkwasser</t>
  </si>
  <si>
    <t>ohne Trinkwasser</t>
  </si>
  <si>
    <t>max.</t>
  </si>
  <si>
    <t>min.</t>
  </si>
  <si>
    <t xml:space="preserve">max. </t>
  </si>
  <si>
    <t>Heizlast des Gebäudes, in kW (ΦHL,build)</t>
  </si>
  <si>
    <t>Heizlast des Gebäudes, in W je m² (ΦHL,build)</t>
  </si>
  <si>
    <t>Die Spreizung (zwischen min. &amp; max.) der Heizlast ist wegen des unklaren Trinkwasserbedarfs geschuldet!</t>
  </si>
  <si>
    <t>Tabelle 38: Anhaltswerte für Wärmeerzeuger-Nutzungsgrade für Beheizung, heizwertbezogen</t>
  </si>
  <si>
    <t>Baualter des Wärmeerzeugers</t>
  </si>
  <si>
    <t xml:space="preserve">Nutzungsgrad , </t>
  </si>
  <si>
    <t>zwischen 1980 bis 1995</t>
  </si>
  <si>
    <t>NT-Kessel</t>
  </si>
  <si>
    <t>Pelletkessel</t>
  </si>
  <si>
    <t>Schätzung des Energieaufwands für Trinkwassererwärmung</t>
  </si>
  <si>
    <t>Endenergie Trinkwassererwärmung</t>
  </si>
  <si>
    <t xml:space="preserve">der Jahresnutzungsgrad der Trinkwassererwärmung; </t>
  </si>
  <si>
    <t>Nutzenergieverbrauch der Trinkwassererwärmung, in Wh;</t>
  </si>
  <si>
    <t>Nutzenergie TWE nach Wohnfläche</t>
  </si>
  <si>
    <t>Tabelle B.1 — Energieträgerabhängige Umrechnungsfaktoren</t>
  </si>
  <si>
    <t>die Wohnfläche nach Wohnflächenverordnung, in ;</t>
  </si>
  <si>
    <r>
      <t xml:space="preserve">Verhältnis Brennwert/Heizwert </t>
    </r>
    <r>
      <rPr>
        <i/>
        <sz val="10"/>
        <color rgb="FF000000"/>
        <rFont val="TimesNewRoman"/>
      </rPr>
      <t xml:space="preserve">H
</t>
    </r>
    <r>
      <rPr>
        <sz val="10"/>
        <color rgb="FF000000"/>
        <rFont val="TimesNewRoman"/>
      </rPr>
      <t>s/</t>
    </r>
    <r>
      <rPr>
        <i/>
        <sz val="10"/>
        <color rgb="FF000000"/>
        <rFont val="TimesNewRoman"/>
      </rPr>
      <t>H</t>
    </r>
    <r>
      <rPr>
        <sz val="10"/>
        <color rgb="FF000000"/>
        <rFont val="TimesNewRoman"/>
      </rPr>
      <t xml:space="preserve">i
</t>
    </r>
    <r>
      <rPr>
        <b/>
        <sz val="10"/>
        <color rgb="FF000000"/>
        <rFont val="Arial"/>
        <family val="2"/>
      </rPr>
      <t xml:space="preserve">(Umrechnungsfaktor für die Endenergie)
</t>
    </r>
    <r>
      <rPr>
        <i/>
        <sz val="10"/>
        <color rgb="FF000000"/>
        <rFont val="TimesNewRoman"/>
      </rPr>
      <t>f</t>
    </r>
    <r>
      <rPr>
        <sz val="8"/>
        <color rgb="FF000000"/>
        <rFont val="Arial"/>
        <family val="2"/>
      </rPr>
      <t>HS/HI</t>
    </r>
  </si>
  <si>
    <t>Nutzenergie TWE nach Volumenstrom</t>
  </si>
  <si>
    <t>Brennstoffe</t>
  </si>
  <si>
    <t xml:space="preserve">Heizöl, Bioöl </t>
  </si>
  <si>
    <t>1,06</t>
  </si>
  <si>
    <t>die Personenanzahl.</t>
  </si>
  <si>
    <t>1,11</t>
  </si>
  <si>
    <t>der personenspezifische Trinkwarmwasserbedarf, in l/dP;</t>
  </si>
  <si>
    <t xml:space="preserve">Flüssiggas </t>
  </si>
  <si>
    <t>1,09</t>
  </si>
  <si>
    <t>Für Wohngebäude kann von einem Trinkwarmwasserbedarf von 30 l/dP ausgegangen werden.</t>
  </si>
  <si>
    <t xml:space="preserve">Steinkohle </t>
  </si>
  <si>
    <t>1,04</t>
  </si>
  <si>
    <t>Art der Trinkwassererwärmung</t>
  </si>
  <si>
    <t xml:space="preserve">Nutzungsgrad </t>
  </si>
  <si>
    <t xml:space="preserve">Braunkohle </t>
  </si>
  <si>
    <t>1,07</t>
  </si>
  <si>
    <t>mit Zirkulation</t>
  </si>
  <si>
    <t xml:space="preserve">Holz </t>
  </si>
  <si>
    <t>1,08</t>
  </si>
  <si>
    <t>0,5…0,7</t>
  </si>
  <si>
    <t>EFH: 0,2…0,4 MFH: 0,3…0,6</t>
  </si>
  <si>
    <t>andere Energieträger</t>
  </si>
  <si>
    <t xml:space="preserve">Strom </t>
  </si>
  <si>
    <t>1,00</t>
  </si>
  <si>
    <t>gruppenweise, wohnungszentral</t>
  </si>
  <si>
    <t>0,7…0,85</t>
  </si>
  <si>
    <t xml:space="preserve">Nah-/Fernwärme, Fernkälte </t>
  </si>
  <si>
    <t xml:space="preserve">Umweltenergie </t>
  </si>
  <si>
    <t xml:space="preserve">Abwärme </t>
  </si>
  <si>
    <t>Anhaltswerte für Wärmeerzeuger-Nutzungsgrade für Beheizung</t>
  </si>
  <si>
    <t>Vorschlagswert</t>
  </si>
  <si>
    <t>EFH:</t>
  </si>
  <si>
    <t>EFH mit Zirkulation</t>
  </si>
  <si>
    <t xml:space="preserve"> 0,2…0,4 </t>
  </si>
  <si>
    <t xml:space="preserve">MFH: </t>
  </si>
  <si>
    <t>MFH mit Zirkulation</t>
  </si>
  <si>
    <t>0,3…0,6</t>
  </si>
  <si>
    <t>Das ist eine Abschätzung!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</si>
</sst>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 &quot;m²&quot;"/>
    <numFmt numFmtId="165" formatCode="0\ &quot; kW&quot;"/>
    <numFmt numFmtId="166" formatCode="0&quot; kWh /a &quot;"/>
    <numFmt numFmtId="167" formatCode="#,##0\ &quot;€&quot;"/>
    <numFmt numFmtId="168" formatCode="0\ &quot; t CO2-eq&quot;"/>
    <numFmt numFmtId="169" formatCode="0\ &quot; h&quot;"/>
    <numFmt numFmtId="170" formatCode="0&quot;kWh /a &quot;"/>
    <numFmt numFmtId="171" formatCode="mmm\ yyyy"/>
    <numFmt numFmtId="172" formatCode="0.0"/>
    <numFmt numFmtId="173" formatCode="_-* #,##0_-;\-* #,##0_-;_-* &quot;-&quot;??_-;_-@_-"/>
    <numFmt numFmtId="174" formatCode="_-* #,##0.0_-;\-* #,##0.0_-;_-* &quot;-&quot;??_-;_-@_-"/>
    <numFmt numFmtId="175" formatCode="0\ &quot;W/m²&quot;"/>
    <numFmt numFmtId="180" formatCode="0.000\ &quot; kg je kWh&quot;"/>
    <numFmt numFmtId="181" formatCode="0\ &quot; JAZ&quot;"/>
  </numFmts>
  <fonts count="26">
    <font>
      <sz val="11"/>
      <color theme="1"/>
      <name val="Calibri"/>
      <family val="2"/>
      <scheme val="minor"/>
    </font>
    <font>
      <sz val="10"/>
      <color theme="1"/>
      <name val="Arial"/>
      <family val="2"/>
    </font>
    <font>
      <b/>
      <sz val="14"/>
      <color theme="1"/>
      <name val="Arial"/>
      <family val="2"/>
    </font>
    <font>
      <b/>
      <sz val="10"/>
      <color theme="1"/>
      <name val="Arial"/>
      <family val="2"/>
    </font>
    <font>
      <b/>
      <sz val="7"/>
      <color theme="1"/>
      <name val="Arial"/>
      <family val="2"/>
    </font>
    <font>
      <vertAlign val="superscript"/>
      <sz val="10"/>
      <color theme="1"/>
      <name val="Arial"/>
      <family val="2"/>
    </font>
    <font>
      <sz val="6"/>
      <color theme="1"/>
      <name val="Arial"/>
      <family val="2"/>
    </font>
    <font>
      <b/>
      <sz val="12"/>
      <color theme="1"/>
      <name val="Arial"/>
      <family val="2"/>
    </font>
    <font>
      <sz val="7"/>
      <color theme="1"/>
      <name val="Arial"/>
      <family val="2"/>
    </font>
    <font>
      <sz val="11"/>
      <color theme="1"/>
      <name val="Calibri"/>
      <family val="2"/>
    </font>
    <font>
      <sz val="10"/>
      <color theme="1"/>
      <name val="Calibri"/>
      <family val="2"/>
    </font>
    <font>
      <sz val="8"/>
      <color theme="1"/>
      <name val="Arial"/>
      <family val="2"/>
    </font>
    <font>
      <b/>
      <sz val="8"/>
      <color theme="1"/>
      <name val="Arial"/>
      <family val="2"/>
    </font>
    <font>
      <b/>
      <sz val="8"/>
      <color theme="1"/>
      <name val="Tahoma"/>
      <family val="2"/>
    </font>
    <font>
      <sz val="11"/>
      <name val="Calibri"/>
      <family val="2"/>
      <scheme val="minor"/>
    </font>
    <font>
      <sz val="8"/>
      <color theme="5" tint="-0.249977111117893"/>
      <name val="Tahoma"/>
      <family val="2"/>
    </font>
    <font>
      <u/>
      <sz val="10"/>
      <color theme="10"/>
      <name val="Arial"/>
      <family val="2"/>
    </font>
    <font>
      <u/>
      <sz val="8"/>
      <color theme="10"/>
      <name val="Arial"/>
      <family val="2"/>
    </font>
    <font>
      <b/>
      <sz val="8"/>
      <color theme="5" tint="-0.249977111117893"/>
      <name val="Tahoma"/>
      <family val="2"/>
    </font>
    <font>
      <b/>
      <sz val="10"/>
      <color rgb="FF000000"/>
      <name val="Arial"/>
      <family val="2"/>
    </font>
    <font>
      <i/>
      <sz val="10"/>
      <color rgb="FF000000"/>
      <name val="TimesNewRoman"/>
    </font>
    <font>
      <sz val="10"/>
      <color rgb="FF000000"/>
      <name val="TimesNewRoman"/>
    </font>
    <font>
      <sz val="8"/>
      <color rgb="FF000000"/>
      <name val="Arial"/>
      <family val="2"/>
    </font>
    <font>
      <sz val="10"/>
      <color rgb="FF000000"/>
      <name val="Arial"/>
      <family val="2"/>
    </font>
    <font>
      <sz val="10"/>
      <color rgb="FFFF0000"/>
      <name val="Arial"/>
      <family val="2"/>
    </font>
    <font>
      <b/>
      <sz val="12"/>
      <color rgb="FFFF0000"/>
      <name val="Arial"/>
      <family val="2"/>
    </font>
  </fonts>
  <fills count="11">
    <fill>
      <patternFill patternType="none"/>
    </fill>
    <fill>
      <patternFill patternType="gray125"/>
    </fill>
    <fill>
      <patternFill patternType="solid">
        <fgColor rgb="FFFFFF00"/>
        <bgColor indexed="64"/>
      </patternFill>
    </fill>
    <fill>
      <patternFill patternType="solid">
        <fgColor rgb="FFF6EA94"/>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EAEAEA"/>
        <bgColor indexed="64"/>
      </patternFill>
    </fill>
    <fill>
      <patternFill patternType="solid">
        <fgColor indexed="42"/>
        <bgColor indexed="64"/>
      </patternFill>
    </fill>
    <fill>
      <patternFill patternType="solid">
        <fgColor rgb="FFFFC000"/>
        <bgColor indexed="64"/>
      </patternFill>
    </fill>
    <fill>
      <patternFill patternType="solid">
        <fgColor indexed="27"/>
        <bgColor indexed="64"/>
      </patternFill>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rgb="FFDDDDDD"/>
      </top>
      <bottom style="thin">
        <color rgb="FFDDDDDD"/>
      </bottom>
      <diagonal/>
    </border>
    <border>
      <left/>
      <right style="thin">
        <color indexed="64"/>
      </right>
      <top style="thin">
        <color rgb="FFDDDDDD"/>
      </top>
      <bottom style="thin">
        <color rgb="FFDDDDDD"/>
      </bottom>
      <diagonal/>
    </border>
    <border>
      <left style="thin">
        <color indexed="64"/>
      </left>
      <right/>
      <top style="thin">
        <color indexed="64"/>
      </top>
      <bottom style="thin">
        <color rgb="FFDDDDDD"/>
      </bottom>
      <diagonal/>
    </border>
    <border>
      <left/>
      <right style="thin">
        <color indexed="64"/>
      </right>
      <top style="thin">
        <color indexed="64"/>
      </top>
      <bottom style="thin">
        <color rgb="FFDDDDDD"/>
      </bottom>
      <diagonal/>
    </border>
    <border>
      <left style="thin">
        <color indexed="64"/>
      </left>
      <right style="medium">
        <color indexed="64"/>
      </right>
      <top style="thin">
        <color indexed="64"/>
      </top>
      <bottom style="thin">
        <color rgb="FFDDDDDD"/>
      </bottom>
      <diagonal/>
    </border>
    <border>
      <left style="thin">
        <color indexed="64"/>
      </left>
      <right/>
      <top style="thin">
        <color rgb="FFDDDDDD"/>
      </top>
      <bottom style="thin">
        <color rgb="FFDDDDDD"/>
      </bottom>
      <diagonal/>
    </border>
    <border>
      <left style="thin">
        <color indexed="64"/>
      </left>
      <right style="medium">
        <color indexed="64"/>
      </right>
      <top style="thin">
        <color rgb="FFDDDDDD"/>
      </top>
      <bottom style="thin">
        <color rgb="FFDDDDDD"/>
      </bottom>
      <diagonal/>
    </border>
    <border>
      <left/>
      <right style="medium">
        <color indexed="64"/>
      </right>
      <top/>
      <bottom/>
      <diagonal/>
    </border>
    <border>
      <left style="thin">
        <color indexed="64"/>
      </left>
      <right/>
      <top style="thin">
        <color rgb="FFDDDDDD"/>
      </top>
      <bottom style="thin">
        <color indexed="64"/>
      </bottom>
      <diagonal/>
    </border>
    <border>
      <left/>
      <right style="thin">
        <color indexed="64"/>
      </right>
      <top style="thin">
        <color rgb="FFDDDDDD"/>
      </top>
      <bottom style="thin">
        <color indexed="64"/>
      </bottom>
      <diagonal/>
    </border>
    <border>
      <left style="thin">
        <color indexed="64"/>
      </left>
      <right style="medium">
        <color indexed="64"/>
      </right>
      <top style="thin">
        <color rgb="FFDDDDDD"/>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4">
    <xf numFmtId="0" fontId="0" fillId="0" borderId="0"/>
    <xf numFmtId="0" fontId="1" fillId="0" borderId="0"/>
    <xf numFmtId="43" fontId="1" fillId="0" borderId="0" applyFont="0" applyFill="0" applyBorder="0" applyAlignment="0" applyProtection="0"/>
    <xf numFmtId="0" fontId="16" fillId="0" borderId="0" applyNumberFormat="0" applyFill="0" applyBorder="0" applyAlignment="0" applyProtection="0"/>
  </cellStyleXfs>
  <cellXfs count="184">
    <xf numFmtId="0" fontId="0" fillId="0" borderId="0" xfId="0"/>
    <xf numFmtId="0" fontId="2" fillId="0" borderId="0" xfId="1" applyFont="1" applyAlignment="1">
      <alignment horizontal="left" vertical="center"/>
    </xf>
    <xf numFmtId="0" fontId="1" fillId="0" borderId="0" xfId="1" applyAlignment="1">
      <alignment horizontal="center"/>
    </xf>
    <xf numFmtId="0" fontId="1" fillId="2" borderId="0" xfId="1" applyFill="1" applyAlignment="1">
      <alignment horizontal="center"/>
    </xf>
    <xf numFmtId="0" fontId="1" fillId="0" borderId="0" xfId="1"/>
    <xf numFmtId="0" fontId="1" fillId="0" borderId="0" xfId="1" applyAlignment="1">
      <alignment horizontal="center" vertical="center"/>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3" xfId="1" applyFont="1" applyBorder="1" applyAlignment="1">
      <alignment horizontal="left" wrapText="1"/>
    </xf>
    <xf numFmtId="0" fontId="3" fillId="0" borderId="4" xfId="1" applyFont="1" applyBorder="1" applyAlignment="1">
      <alignment wrapText="1"/>
    </xf>
    <xf numFmtId="0" fontId="3" fillId="0" borderId="4" xfId="1" applyFont="1" applyBorder="1" applyAlignment="1">
      <alignment horizontal="center" vertical="center" wrapText="1"/>
    </xf>
    <xf numFmtId="0" fontId="3" fillId="0" borderId="4" xfId="1" applyFont="1" applyBorder="1" applyAlignment="1">
      <alignment horizontal="center" vertical="center"/>
    </xf>
    <xf numFmtId="0" fontId="4" fillId="0" borderId="4"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2" borderId="5" xfId="1" applyNumberFormat="1" applyFont="1" applyFill="1" applyBorder="1" applyAlignment="1">
      <alignment horizontal="center" vertical="center"/>
    </xf>
    <xf numFmtId="0" fontId="3" fillId="0" borderId="0" xfId="1" applyFont="1" applyAlignment="1">
      <alignment horizontal="center" vertical="center"/>
    </xf>
    <xf numFmtId="0" fontId="3" fillId="2" borderId="4" xfId="1" applyFont="1" applyFill="1" applyBorder="1" applyAlignment="1">
      <alignment horizontal="center" vertical="center"/>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6" fillId="0" borderId="6" xfId="1" applyFont="1" applyBorder="1" applyAlignment="1">
      <alignment horizontal="center"/>
    </xf>
    <xf numFmtId="165" fontId="1" fillId="0" borderId="7" xfId="1" applyNumberFormat="1" applyBorder="1" applyAlignment="1">
      <alignment horizontal="center"/>
    </xf>
    <xf numFmtId="166" fontId="1" fillId="0" borderId="4" xfId="1" applyNumberFormat="1" applyBorder="1" applyAlignment="1">
      <alignment horizontal="center"/>
    </xf>
    <xf numFmtId="167" fontId="1" fillId="0" borderId="4" xfId="1" applyNumberFormat="1" applyBorder="1" applyAlignment="1">
      <alignment horizontal="center"/>
    </xf>
    <xf numFmtId="168" fontId="1" fillId="0" borderId="4" xfId="1" applyNumberFormat="1" applyBorder="1" applyAlignment="1">
      <alignment horizontal="center"/>
    </xf>
    <xf numFmtId="165" fontId="1" fillId="0" borderId="8" xfId="1" applyNumberFormat="1" applyBorder="1" applyAlignment="1">
      <alignment horizontal="center"/>
    </xf>
    <xf numFmtId="165" fontId="1" fillId="0" borderId="4" xfId="1" applyNumberFormat="1" applyBorder="1" applyAlignment="1">
      <alignment horizontal="center"/>
    </xf>
    <xf numFmtId="166" fontId="0" fillId="3" borderId="4" xfId="2" applyNumberFormat="1" applyFont="1" applyFill="1" applyBorder="1" applyAlignment="1">
      <alignment horizontal="center" vertical="center" wrapText="1"/>
    </xf>
    <xf numFmtId="0" fontId="3" fillId="0" borderId="0" xfId="1" applyFont="1" applyAlignment="1">
      <alignment horizontal="left" vertical="center" wrapText="1"/>
    </xf>
    <xf numFmtId="165" fontId="1" fillId="0" borderId="6" xfId="1" applyNumberFormat="1" applyBorder="1" applyAlignment="1">
      <alignment horizontal="center"/>
    </xf>
    <xf numFmtId="0" fontId="1" fillId="0" borderId="0" xfId="1" applyAlignment="1">
      <alignment horizontal="left"/>
    </xf>
    <xf numFmtId="0" fontId="3" fillId="0" borderId="0" xfId="1" applyFont="1" applyAlignment="1">
      <alignment horizontal="left" vertical="center"/>
    </xf>
    <xf numFmtId="0" fontId="1" fillId="0" borderId="0" xfId="1" applyAlignment="1">
      <alignment horizontal="center" vertical="center" wrapText="1"/>
    </xf>
    <xf numFmtId="0" fontId="1" fillId="0" borderId="9" xfId="1" applyBorder="1" applyAlignment="1">
      <alignment horizontal="left" vertical="top"/>
    </xf>
    <xf numFmtId="0" fontId="1" fillId="0" borderId="10" xfId="1" applyBorder="1" applyAlignment="1">
      <alignment horizontal="center"/>
    </xf>
    <xf numFmtId="0" fontId="3" fillId="0" borderId="11" xfId="1" applyFont="1" applyBorder="1" applyAlignment="1">
      <alignment horizontal="left"/>
    </xf>
    <xf numFmtId="0" fontId="1" fillId="0" borderId="11" xfId="1" applyBorder="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4" xfId="1" applyBorder="1" applyAlignment="1">
      <alignment horizontal="center"/>
    </xf>
    <xf numFmtId="0" fontId="1" fillId="0" borderId="15" xfId="1" applyBorder="1" applyAlignment="1">
      <alignment horizontal="center"/>
    </xf>
    <xf numFmtId="0" fontId="1" fillId="0" borderId="16" xfId="1" applyBorder="1" applyAlignment="1">
      <alignment horizontal="left" vertical="center"/>
    </xf>
    <xf numFmtId="0" fontId="1" fillId="0" borderId="17" xfId="1" applyBorder="1" applyAlignment="1">
      <alignment horizontal="left" vertical="top"/>
    </xf>
    <xf numFmtId="0" fontId="1" fillId="0" borderId="17" xfId="1" applyBorder="1" applyAlignment="1">
      <alignment horizontal="center"/>
    </xf>
    <xf numFmtId="0" fontId="1" fillId="0" borderId="18" xfId="1" applyBorder="1" applyAlignment="1">
      <alignment horizontal="left"/>
    </xf>
    <xf numFmtId="0" fontId="1" fillId="0" borderId="19" xfId="1" applyBorder="1" applyAlignment="1">
      <alignment horizontal="center"/>
    </xf>
    <xf numFmtId="0" fontId="1" fillId="0" borderId="20" xfId="1" applyBorder="1" applyAlignment="1">
      <alignment horizontal="left"/>
    </xf>
    <xf numFmtId="0" fontId="1" fillId="0" borderId="17" xfId="1" applyBorder="1" applyAlignment="1">
      <alignment horizontal="left"/>
    </xf>
    <xf numFmtId="0" fontId="1" fillId="0" borderId="21" xfId="1" applyBorder="1" applyAlignment="1">
      <alignment horizontal="left"/>
    </xf>
    <xf numFmtId="0" fontId="1" fillId="0" borderId="16" xfId="1" applyBorder="1" applyAlignment="1">
      <alignment horizontal="left"/>
    </xf>
    <xf numFmtId="0" fontId="1" fillId="0" borderId="22" xfId="1" applyBorder="1" applyAlignment="1">
      <alignment horizontal="center"/>
    </xf>
    <xf numFmtId="0" fontId="1" fillId="0" borderId="23" xfId="1" applyBorder="1" applyAlignment="1">
      <alignment horizontal="center"/>
    </xf>
    <xf numFmtId="0" fontId="1" fillId="0" borderId="24" xfId="1" applyBorder="1" applyAlignment="1">
      <alignment horizontal="right"/>
    </xf>
    <xf numFmtId="0" fontId="1" fillId="2" borderId="24" xfId="1" applyFill="1" applyBorder="1" applyAlignment="1">
      <alignment horizontal="right"/>
    </xf>
    <xf numFmtId="0" fontId="1" fillId="0" borderId="24" xfId="1" applyBorder="1" applyAlignment="1">
      <alignment horizontal="left"/>
    </xf>
    <xf numFmtId="0" fontId="1" fillId="0" borderId="25" xfId="1" applyBorder="1" applyAlignment="1">
      <alignment horizontal="left" vertical="top"/>
    </xf>
    <xf numFmtId="0" fontId="1" fillId="0" borderId="25" xfId="1" applyBorder="1" applyAlignment="1">
      <alignment horizontal="center"/>
    </xf>
    <xf numFmtId="0" fontId="1" fillId="0" borderId="26" xfId="1" applyBorder="1" applyAlignment="1">
      <alignment horizontal="left"/>
    </xf>
    <xf numFmtId="0" fontId="1" fillId="0" borderId="27" xfId="1" applyBorder="1" applyAlignment="1">
      <alignment horizontal="center"/>
    </xf>
    <xf numFmtId="0" fontId="1" fillId="0" borderId="28" xfId="1" applyBorder="1" applyAlignment="1">
      <alignment horizontal="left"/>
    </xf>
    <xf numFmtId="0" fontId="1" fillId="0" borderId="25" xfId="1" applyBorder="1" applyAlignment="1">
      <alignment horizontal="left"/>
    </xf>
    <xf numFmtId="0" fontId="1" fillId="0" borderId="29" xfId="1" applyBorder="1" applyAlignment="1">
      <alignment horizontal="left"/>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1" fillId="0" borderId="9" xfId="1" applyBorder="1" applyAlignment="1">
      <alignment horizontal="center"/>
    </xf>
    <xf numFmtId="0" fontId="3" fillId="0" borderId="10" xfId="1" applyFont="1" applyBorder="1" applyAlignment="1">
      <alignment horizontal="center" vertical="top" wrapText="1"/>
    </xf>
    <xf numFmtId="0" fontId="3" fillId="0" borderId="30" xfId="1" applyFont="1" applyBorder="1" applyAlignment="1">
      <alignment horizontal="center" vertical="top" wrapText="1"/>
    </xf>
    <xf numFmtId="0" fontId="3" fillId="0" borderId="31" xfId="1" applyFont="1" applyBorder="1" applyAlignment="1">
      <alignment horizontal="center" vertical="top" wrapText="1"/>
    </xf>
    <xf numFmtId="0" fontId="3" fillId="4" borderId="32" xfId="1" applyFont="1" applyFill="1" applyBorder="1" applyAlignment="1">
      <alignment horizontal="center" vertical="top" wrapText="1"/>
    </xf>
    <xf numFmtId="0" fontId="3" fillId="0" borderId="32" xfId="1" applyFont="1" applyBorder="1" applyAlignment="1">
      <alignment horizontal="center" vertical="top" wrapText="1"/>
    </xf>
    <xf numFmtId="0" fontId="3" fillId="0" borderId="24" xfId="1" applyFont="1" applyBorder="1" applyAlignment="1">
      <alignment horizontal="center" vertical="top" wrapText="1"/>
    </xf>
    <xf numFmtId="0" fontId="3" fillId="5" borderId="1" xfId="1" applyFont="1" applyFill="1" applyBorder="1" applyAlignment="1">
      <alignment horizontal="center" vertical="top" wrapText="1"/>
    </xf>
    <xf numFmtId="0" fontId="3" fillId="5" borderId="2" xfId="1" applyFont="1" applyFill="1" applyBorder="1" applyAlignment="1">
      <alignment horizontal="center" vertical="top" wrapText="1"/>
    </xf>
    <xf numFmtId="0" fontId="3" fillId="5" borderId="3" xfId="1" applyFont="1" applyFill="1" applyBorder="1" applyAlignment="1">
      <alignment horizontal="center" vertical="top" wrapText="1"/>
    </xf>
    <xf numFmtId="0" fontId="3" fillId="0" borderId="4" xfId="1" applyFont="1" applyBorder="1" applyAlignment="1">
      <alignment horizontal="center" vertical="top" wrapText="1"/>
    </xf>
    <xf numFmtId="0" fontId="3" fillId="0" borderId="32" xfId="1" applyFont="1" applyBorder="1" applyAlignment="1">
      <alignment horizontal="center" vertical="center" wrapText="1"/>
    </xf>
    <xf numFmtId="169" fontId="3" fillId="0" borderId="33" xfId="1" applyNumberFormat="1" applyFont="1" applyBorder="1" applyAlignment="1">
      <alignment horizontal="center" vertical="center"/>
    </xf>
    <xf numFmtId="169" fontId="3" fillId="0" borderId="5" xfId="1" applyNumberFormat="1" applyFont="1" applyBorder="1" applyAlignment="1">
      <alignment horizontal="center" vertical="center"/>
    </xf>
    <xf numFmtId="165" fontId="1" fillId="0" borderId="1" xfId="1" applyNumberFormat="1" applyBorder="1" applyAlignment="1">
      <alignment horizontal="center"/>
    </xf>
    <xf numFmtId="1" fontId="8" fillId="0" borderId="8" xfId="2" applyNumberFormat="1" applyFont="1" applyBorder="1" applyAlignment="1">
      <alignment horizontal="center"/>
    </xf>
    <xf numFmtId="166" fontId="8" fillId="0" borderId="4" xfId="2" applyNumberFormat="1" applyFont="1" applyBorder="1" applyAlignment="1">
      <alignment horizontal="center"/>
    </xf>
    <xf numFmtId="165" fontId="1" fillId="0" borderId="0" xfId="1" applyNumberFormat="1" applyAlignment="1">
      <alignment horizontal="center"/>
    </xf>
    <xf numFmtId="169" fontId="1" fillId="0" borderId="0" xfId="1" applyNumberFormat="1" applyAlignment="1">
      <alignment horizontal="center"/>
    </xf>
    <xf numFmtId="1" fontId="8" fillId="0" borderId="4" xfId="2" applyNumberFormat="1" applyFont="1" applyBorder="1" applyAlignment="1">
      <alignment horizontal="center"/>
    </xf>
    <xf numFmtId="0" fontId="1" fillId="0" borderId="1" xfId="1" applyBorder="1" applyAlignment="1">
      <alignment horizontal="center"/>
    </xf>
    <xf numFmtId="170" fontId="3" fillId="2" borderId="32" xfId="1" applyNumberFormat="1" applyFont="1" applyFill="1" applyBorder="1" applyAlignment="1">
      <alignment horizontal="center" vertical="center"/>
    </xf>
    <xf numFmtId="0" fontId="1" fillId="0" borderId="19" xfId="1" applyBorder="1" applyAlignment="1">
      <alignment horizontal="left" wrapText="1"/>
    </xf>
    <xf numFmtId="0" fontId="1" fillId="0" borderId="19" xfId="1" applyBorder="1" applyAlignment="1">
      <alignment horizontal="center" wrapText="1"/>
    </xf>
    <xf numFmtId="0" fontId="1" fillId="0" borderId="0" xfId="1" applyAlignment="1">
      <alignment horizontal="right"/>
    </xf>
    <xf numFmtId="0" fontId="1" fillId="0" borderId="22" xfId="1" applyBorder="1" applyAlignment="1">
      <alignment horizontal="left" wrapText="1"/>
    </xf>
    <xf numFmtId="0" fontId="1" fillId="0" borderId="22" xfId="1" applyBorder="1" applyAlignment="1">
      <alignment horizontal="center" wrapText="1"/>
    </xf>
    <xf numFmtId="0" fontId="1" fillId="0" borderId="22" xfId="1" applyBorder="1" applyAlignment="1">
      <alignment horizontal="left"/>
    </xf>
    <xf numFmtId="0" fontId="1" fillId="0" borderId="0" xfId="1" applyAlignment="1">
      <alignment horizontal="left"/>
    </xf>
    <xf numFmtId="0" fontId="1" fillId="0" borderId="0" xfId="1" applyAlignment="1">
      <alignment horizontal="left" vertical="top" wrapText="1"/>
    </xf>
    <xf numFmtId="0" fontId="3" fillId="0" borderId="0" xfId="1" applyFont="1" applyAlignment="1">
      <alignment horizontal="left"/>
    </xf>
    <xf numFmtId="0" fontId="11" fillId="0" borderId="0" xfId="1" applyFont="1" applyAlignment="1">
      <alignment horizontal="left" vertical="top"/>
    </xf>
    <xf numFmtId="0" fontId="12" fillId="0" borderId="0" xfId="1" applyFont="1" applyAlignment="1">
      <alignment horizontal="left" vertical="top"/>
    </xf>
    <xf numFmtId="0" fontId="13" fillId="6" borderId="34" xfId="1" applyFont="1" applyFill="1" applyBorder="1"/>
    <xf numFmtId="0" fontId="1" fillId="6" borderId="35" xfId="1" applyFill="1" applyBorder="1" applyAlignment="1">
      <alignment horizontal="center"/>
    </xf>
    <xf numFmtId="0" fontId="1" fillId="7" borderId="36" xfId="1" applyFill="1" applyBorder="1" applyAlignment="1">
      <alignment horizontal="center"/>
    </xf>
    <xf numFmtId="0" fontId="1" fillId="7" borderId="37" xfId="1" applyFill="1" applyBorder="1" applyAlignment="1">
      <alignment horizontal="center"/>
    </xf>
    <xf numFmtId="0" fontId="1" fillId="7" borderId="38" xfId="1" applyFill="1" applyBorder="1" applyAlignment="1">
      <alignment horizontal="center"/>
    </xf>
    <xf numFmtId="0" fontId="14" fillId="8" borderId="0" xfId="1" applyFont="1" applyFill="1" applyAlignment="1">
      <alignment horizontal="center" vertical="center"/>
    </xf>
    <xf numFmtId="171" fontId="15" fillId="6" borderId="39" xfId="1" applyNumberFormat="1" applyFont="1" applyFill="1" applyBorder="1" applyAlignment="1">
      <alignment horizontal="left"/>
    </xf>
    <xf numFmtId="0" fontId="15" fillId="6" borderId="40" xfId="1" applyFont="1" applyFill="1" applyBorder="1" applyAlignment="1">
      <alignment horizontal="center"/>
    </xf>
    <xf numFmtId="1" fontId="15" fillId="0" borderId="41" xfId="1" applyNumberFormat="1" applyFont="1" applyBorder="1" applyAlignment="1">
      <alignment horizontal="center"/>
    </xf>
    <xf numFmtId="1" fontId="15" fillId="0" borderId="42" xfId="1" applyNumberFormat="1" applyFont="1" applyBorder="1" applyAlignment="1">
      <alignment horizontal="center"/>
    </xf>
    <xf numFmtId="172" fontId="15" fillId="0" borderId="41" xfId="1" applyNumberFormat="1" applyFont="1" applyBorder="1" applyAlignment="1">
      <alignment horizontal="center"/>
    </xf>
    <xf numFmtId="172" fontId="15" fillId="0" borderId="42" xfId="1" applyNumberFormat="1" applyFont="1" applyBorder="1" applyAlignment="1">
      <alignment horizontal="center"/>
    </xf>
    <xf numFmtId="172" fontId="15" fillId="0" borderId="43" xfId="1" applyNumberFormat="1" applyFont="1" applyBorder="1" applyAlignment="1">
      <alignment horizontal="center"/>
    </xf>
    <xf numFmtId="172" fontId="1" fillId="0" borderId="0" xfId="1" applyNumberFormat="1" applyAlignment="1">
      <alignment horizontal="center"/>
    </xf>
    <xf numFmtId="1" fontId="15" fillId="0" borderId="44" xfId="1" applyNumberFormat="1" applyFont="1" applyBorder="1" applyAlignment="1">
      <alignment horizontal="center"/>
    </xf>
    <xf numFmtId="1" fontId="15" fillId="0" borderId="40" xfId="1" applyNumberFormat="1" applyFont="1" applyBorder="1" applyAlignment="1">
      <alignment horizontal="center"/>
    </xf>
    <xf numFmtId="172" fontId="15" fillId="0" borderId="44" xfId="1" applyNumberFormat="1" applyFont="1" applyBorder="1" applyAlignment="1">
      <alignment horizontal="center"/>
    </xf>
    <xf numFmtId="172" fontId="15" fillId="0" borderId="40" xfId="1" applyNumberFormat="1" applyFont="1" applyBorder="1" applyAlignment="1">
      <alignment horizontal="center"/>
    </xf>
    <xf numFmtId="172" fontId="15" fillId="0" borderId="45" xfId="1" applyNumberFormat="1" applyFont="1" applyBorder="1" applyAlignment="1">
      <alignment horizontal="center"/>
    </xf>
    <xf numFmtId="173" fontId="0" fillId="3" borderId="4" xfId="2" applyNumberFormat="1" applyFont="1" applyFill="1" applyBorder="1" applyAlignment="1">
      <alignment horizontal="center" vertical="top" wrapText="1"/>
    </xf>
    <xf numFmtId="1" fontId="1" fillId="2" borderId="0" xfId="1" applyNumberFormat="1" applyFill="1" applyAlignment="1">
      <alignment horizontal="center"/>
    </xf>
    <xf numFmtId="0" fontId="12" fillId="0" borderId="0" xfId="1" applyFont="1" applyAlignment="1">
      <alignment horizontal="center" vertical="top" wrapText="1"/>
    </xf>
    <xf numFmtId="0" fontId="12" fillId="0" borderId="46" xfId="1" applyFont="1" applyBorder="1" applyAlignment="1">
      <alignment horizontal="center" vertical="top" wrapText="1"/>
    </xf>
    <xf numFmtId="0" fontId="17" fillId="0" borderId="0" xfId="3" applyFont="1" applyAlignment="1">
      <alignment horizontal="left" vertical="top"/>
    </xf>
    <xf numFmtId="1" fontId="15" fillId="0" borderId="44" xfId="1" applyNumberFormat="1" applyFont="1" applyBorder="1" applyAlignment="1">
      <alignment horizontal="center"/>
    </xf>
    <xf numFmtId="1" fontId="15" fillId="0" borderId="40" xfId="1" applyNumberFormat="1" applyFont="1" applyBorder="1" applyAlignment="1">
      <alignment horizontal="center"/>
    </xf>
    <xf numFmtId="172" fontId="15" fillId="0" borderId="44" xfId="1" applyNumberFormat="1" applyFont="1" applyBorder="1" applyAlignment="1">
      <alignment horizontal="center"/>
    </xf>
    <xf numFmtId="172" fontId="15" fillId="0" borderId="40" xfId="1" applyNumberFormat="1" applyFont="1" applyBorder="1" applyAlignment="1">
      <alignment horizontal="center"/>
    </xf>
    <xf numFmtId="174" fontId="0" fillId="3" borderId="4" xfId="2" applyNumberFormat="1" applyFont="1" applyFill="1" applyBorder="1" applyAlignment="1">
      <alignment horizontal="center" wrapText="1"/>
    </xf>
    <xf numFmtId="1" fontId="15" fillId="0" borderId="47" xfId="1" applyNumberFormat="1" applyFont="1" applyBorder="1" applyAlignment="1">
      <alignment horizontal="center"/>
    </xf>
    <xf numFmtId="1" fontId="15" fillId="0" borderId="48" xfId="1" applyNumberFormat="1" applyFont="1" applyBorder="1" applyAlignment="1">
      <alignment horizontal="center"/>
    </xf>
    <xf numFmtId="172" fontId="15" fillId="0" borderId="47" xfId="1" applyNumberFormat="1" applyFont="1" applyBorder="1" applyAlignment="1">
      <alignment horizontal="center"/>
    </xf>
    <xf numFmtId="172" fontId="15" fillId="0" borderId="48" xfId="1" applyNumberFormat="1" applyFont="1" applyBorder="1" applyAlignment="1">
      <alignment horizontal="center"/>
    </xf>
    <xf numFmtId="172" fontId="15" fillId="0" borderId="49" xfId="1" applyNumberFormat="1" applyFont="1" applyBorder="1" applyAlignment="1">
      <alignment horizontal="center"/>
    </xf>
    <xf numFmtId="0" fontId="1" fillId="0" borderId="0" xfId="1" applyAlignment="1">
      <alignment vertical="center"/>
    </xf>
    <xf numFmtId="17" fontId="13" fillId="6" borderId="50" xfId="1" applyNumberFormat="1" applyFont="1" applyFill="1" applyBorder="1"/>
    <xf numFmtId="0" fontId="18" fillId="6" borderId="51" xfId="1" applyFont="1" applyFill="1" applyBorder="1" applyAlignment="1">
      <alignment horizontal="center"/>
    </xf>
    <xf numFmtId="1" fontId="18" fillId="9" borderId="52" xfId="1" applyNumberFormat="1" applyFont="1" applyFill="1" applyBorder="1" applyAlignment="1">
      <alignment horizontal="center"/>
    </xf>
    <xf numFmtId="1" fontId="18" fillId="9" borderId="53" xfId="1" applyNumberFormat="1" applyFont="1" applyFill="1" applyBorder="1" applyAlignment="1">
      <alignment horizontal="center"/>
    </xf>
    <xf numFmtId="172" fontId="18" fillId="9" borderId="52" xfId="1" applyNumberFormat="1" applyFont="1" applyFill="1" applyBorder="1" applyAlignment="1">
      <alignment horizontal="center"/>
    </xf>
    <xf numFmtId="172" fontId="18" fillId="9" borderId="53" xfId="1" applyNumberFormat="1" applyFont="1" applyFill="1" applyBorder="1" applyAlignment="1">
      <alignment horizontal="center"/>
    </xf>
    <xf numFmtId="172" fontId="18" fillId="9" borderId="54" xfId="1" applyNumberFormat="1" applyFont="1" applyFill="1" applyBorder="1" applyAlignment="1">
      <alignment horizontal="center"/>
    </xf>
    <xf numFmtId="2" fontId="1" fillId="0" borderId="0" xfId="1" applyNumberFormat="1"/>
    <xf numFmtId="2" fontId="1" fillId="0" borderId="0" xfId="1" applyNumberFormat="1" applyAlignment="1">
      <alignment horizontal="center"/>
    </xf>
    <xf numFmtId="0" fontId="1" fillId="10" borderId="0" xfId="1" applyFill="1" applyAlignment="1">
      <alignment horizontal="center"/>
    </xf>
    <xf numFmtId="0" fontId="11" fillId="0" borderId="0" xfId="1" applyFont="1" applyAlignment="1">
      <alignment horizontal="left" vertical="top" wrapText="1"/>
    </xf>
    <xf numFmtId="0" fontId="1" fillId="0" borderId="9" xfId="1" applyBorder="1" applyAlignment="1">
      <alignment horizontal="left"/>
    </xf>
    <xf numFmtId="0" fontId="1" fillId="0" borderId="30" xfId="1" applyBorder="1" applyAlignment="1">
      <alignment horizontal="center"/>
    </xf>
    <xf numFmtId="0" fontId="1" fillId="10" borderId="16" xfId="1" applyFill="1" applyBorder="1" applyAlignment="1">
      <alignment horizontal="center"/>
    </xf>
    <xf numFmtId="0" fontId="1" fillId="0" borderId="55" xfId="1" applyBorder="1" applyAlignment="1">
      <alignment horizontal="center"/>
    </xf>
    <xf numFmtId="0" fontId="1" fillId="0" borderId="55" xfId="1" applyBorder="1" applyAlignment="1">
      <alignment horizontal="left"/>
    </xf>
    <xf numFmtId="165" fontId="1" fillId="0" borderId="16" xfId="1" applyNumberFormat="1" applyBorder="1" applyAlignment="1">
      <alignment horizontal="center"/>
    </xf>
    <xf numFmtId="165" fontId="1" fillId="0" borderId="55" xfId="1" applyNumberFormat="1" applyBorder="1" applyAlignment="1">
      <alignment horizontal="center"/>
    </xf>
    <xf numFmtId="175" fontId="1" fillId="0" borderId="23" xfId="1" applyNumberFormat="1" applyBorder="1" applyAlignment="1">
      <alignment horizontal="center"/>
    </xf>
    <xf numFmtId="175" fontId="1" fillId="0" borderId="31" xfId="1" applyNumberFormat="1" applyBorder="1" applyAlignment="1">
      <alignment horizontal="center"/>
    </xf>
    <xf numFmtId="0" fontId="3" fillId="0" borderId="0" xfId="1" applyFont="1" applyAlignment="1">
      <alignment vertical="center" wrapText="1"/>
    </xf>
    <xf numFmtId="0" fontId="3" fillId="0" borderId="0" xfId="1" applyFont="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0" fontId="1" fillId="0" borderId="58" xfId="1" applyBorder="1" applyAlignment="1">
      <alignment horizontal="center" vertical="center"/>
    </xf>
    <xf numFmtId="0" fontId="1" fillId="0" borderId="59" xfId="1" applyBorder="1" applyAlignment="1">
      <alignment horizontal="center" vertical="center"/>
    </xf>
    <xf numFmtId="0" fontId="1" fillId="0" borderId="59" xfId="1" applyBorder="1" applyAlignment="1">
      <alignment horizontal="left" vertical="center"/>
    </xf>
    <xf numFmtId="0" fontId="1" fillId="0" borderId="57" xfId="1" applyBorder="1" applyAlignment="1">
      <alignment horizontal="left" vertical="center"/>
    </xf>
    <xf numFmtId="0" fontId="1" fillId="0" borderId="57" xfId="1" applyBorder="1" applyAlignment="1">
      <alignment horizontal="center" vertical="center"/>
    </xf>
    <xf numFmtId="0" fontId="1" fillId="0" borderId="0" xfId="1" applyAlignment="1">
      <alignment horizontal="left" vertical="center"/>
    </xf>
    <xf numFmtId="0" fontId="1" fillId="0" borderId="56" xfId="1" applyBorder="1" applyAlignment="1">
      <alignment horizontal="center" vertical="center"/>
    </xf>
    <xf numFmtId="0" fontId="19" fillId="0" borderId="0" xfId="1" applyFont="1"/>
    <xf numFmtId="0" fontId="19" fillId="0" borderId="4" xfId="1" applyFont="1" applyBorder="1" applyAlignment="1">
      <alignment vertical="center" wrapText="1"/>
    </xf>
    <xf numFmtId="0" fontId="23" fillId="0" borderId="4" xfId="1" applyFont="1" applyBorder="1" applyAlignment="1">
      <alignment vertical="center" wrapText="1"/>
    </xf>
    <xf numFmtId="0" fontId="1" fillId="0" borderId="56" xfId="1" applyBorder="1" applyAlignment="1">
      <alignment horizontal="center" vertical="center" wrapText="1"/>
    </xf>
    <xf numFmtId="0" fontId="1" fillId="0" borderId="57" xfId="1" applyBorder="1" applyAlignment="1">
      <alignment horizontal="center" vertical="center" wrapText="1"/>
    </xf>
    <xf numFmtId="0" fontId="1" fillId="0" borderId="60" xfId="1" applyBorder="1" applyAlignment="1">
      <alignment horizontal="center" vertical="center" wrapText="1"/>
    </xf>
    <xf numFmtId="0" fontId="1" fillId="0" borderId="58" xfId="1" applyBorder="1" applyAlignment="1">
      <alignment horizontal="center" vertical="center" wrapText="1"/>
    </xf>
    <xf numFmtId="0" fontId="1" fillId="0" borderId="59" xfId="1" applyBorder="1" applyAlignment="1">
      <alignment horizontal="center" vertical="center" wrapText="1"/>
    </xf>
    <xf numFmtId="0" fontId="1" fillId="0" borderId="56" xfId="1" applyBorder="1" applyAlignment="1">
      <alignment horizontal="center" vertical="center" wrapText="1"/>
    </xf>
    <xf numFmtId="0" fontId="1" fillId="0" borderId="59" xfId="1" applyBorder="1" applyAlignment="1">
      <alignment horizontal="left" vertical="center" wrapText="1"/>
    </xf>
    <xf numFmtId="0" fontId="1" fillId="0" borderId="57" xfId="1" applyBorder="1" applyAlignment="1">
      <alignment horizontal="left" vertical="center" wrapText="1"/>
    </xf>
    <xf numFmtId="0" fontId="1" fillId="0" borderId="56" xfId="1" applyBorder="1" applyAlignment="1">
      <alignment vertical="center"/>
    </xf>
    <xf numFmtId="0" fontId="1" fillId="0" borderId="4" xfId="1" applyBorder="1" applyAlignment="1">
      <alignment horizontal="center"/>
    </xf>
    <xf numFmtId="0" fontId="1" fillId="0" borderId="4" xfId="1" applyBorder="1" applyAlignment="1">
      <alignment vertical="center"/>
    </xf>
    <xf numFmtId="0" fontId="1" fillId="0" borderId="4" xfId="1" applyBorder="1" applyAlignment="1">
      <alignment horizontal="left" vertical="center"/>
    </xf>
    <xf numFmtId="0" fontId="1" fillId="0" borderId="4" xfId="1" applyBorder="1" applyAlignment="1">
      <alignment horizontal="center" vertical="center"/>
    </xf>
    <xf numFmtId="0" fontId="1" fillId="0" borderId="0" xfId="1" applyAlignment="1">
      <alignment vertical="center" wrapText="1"/>
    </xf>
    <xf numFmtId="180" fontId="3" fillId="2" borderId="4" xfId="1" applyNumberFormat="1" applyFont="1" applyFill="1" applyBorder="1" applyAlignment="1">
      <alignment horizontal="center" vertical="center"/>
    </xf>
    <xf numFmtId="181" fontId="1" fillId="2" borderId="0" xfId="1" applyNumberFormat="1" applyFill="1" applyAlignment="1">
      <alignment horizontal="center"/>
    </xf>
    <xf numFmtId="0" fontId="24" fillId="0" borderId="0" xfId="1" applyFont="1" applyAlignment="1">
      <alignment horizontal="center"/>
    </xf>
    <xf numFmtId="0" fontId="25" fillId="0" borderId="0" xfId="1" applyFont="1" applyAlignment="1">
      <alignment horizontal="center"/>
    </xf>
  </cellXfs>
  <cellStyles count="4">
    <cellStyle name="Komma 2" xfId="2" xr:uid="{853FB9A2-00A8-4F27-BA66-041B21A77B81}"/>
    <cellStyle name="Link 2" xfId="3" xr:uid="{6128CA0B-AD18-49AC-A98D-83076AC5682C}"/>
    <cellStyle name="Standard" xfId="0" builtinId="0"/>
    <cellStyle name="Standard 2 3" xfId="1" xr:uid="{B4D04B51-3665-4136-B9F7-1993248824A9}"/>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19</xdr:col>
      <xdr:colOff>609600</xdr:colOff>
      <xdr:row>19</xdr:row>
      <xdr:rowOff>76200</xdr:rowOff>
    </xdr:from>
    <xdr:ext cx="780952" cy="438095"/>
    <xdr:pic>
      <xdr:nvPicPr>
        <xdr:cNvPr id="2" name="Grafik 1">
          <a:extLst>
            <a:ext uri="{FF2B5EF4-FFF2-40B4-BE49-F238E27FC236}">
              <a16:creationId xmlns:a16="http://schemas.microsoft.com/office/drawing/2014/main" id="{DF583A8A-565B-40CC-9D5F-1013F619C60C}"/>
            </a:ext>
          </a:extLst>
        </xdr:cNvPr>
        <xdr:cNvPicPr>
          <a:picLocks noChangeAspect="1"/>
        </xdr:cNvPicPr>
      </xdr:nvPicPr>
      <xdr:blipFill>
        <a:blip xmlns:r="http://schemas.openxmlformats.org/officeDocument/2006/relationships" r:embed="rId1"/>
        <a:stretch>
          <a:fillRect/>
        </a:stretch>
      </xdr:blipFill>
      <xdr:spPr>
        <a:xfrm>
          <a:off x="14523720" y="4122420"/>
          <a:ext cx="780952" cy="438095"/>
        </a:xfrm>
        <a:prstGeom prst="rect">
          <a:avLst/>
        </a:prstGeom>
      </xdr:spPr>
    </xdr:pic>
    <xdr:clientData/>
  </xdr:oneCellAnchor>
  <xdr:oneCellAnchor>
    <xdr:from>
      <xdr:col>18</xdr:col>
      <xdr:colOff>657225</xdr:colOff>
      <xdr:row>22</xdr:row>
      <xdr:rowOff>9525</xdr:rowOff>
    </xdr:from>
    <xdr:ext cx="3876190" cy="409524"/>
    <xdr:pic>
      <xdr:nvPicPr>
        <xdr:cNvPr id="3" name="Grafik 2">
          <a:extLst>
            <a:ext uri="{FF2B5EF4-FFF2-40B4-BE49-F238E27FC236}">
              <a16:creationId xmlns:a16="http://schemas.microsoft.com/office/drawing/2014/main" id="{3D70A14C-5D71-4F08-A755-41D010DF83B9}"/>
            </a:ext>
          </a:extLst>
        </xdr:cNvPr>
        <xdr:cNvPicPr>
          <a:picLocks noChangeAspect="1"/>
        </xdr:cNvPicPr>
      </xdr:nvPicPr>
      <xdr:blipFill>
        <a:blip xmlns:r="http://schemas.openxmlformats.org/officeDocument/2006/relationships" r:embed="rId2"/>
        <a:stretch>
          <a:fillRect/>
        </a:stretch>
      </xdr:blipFill>
      <xdr:spPr>
        <a:xfrm>
          <a:off x="13169265" y="4581525"/>
          <a:ext cx="3876190" cy="409524"/>
        </a:xfrm>
        <a:prstGeom prst="rect">
          <a:avLst/>
        </a:prstGeom>
      </xdr:spPr>
    </xdr:pic>
    <xdr:clientData/>
  </xdr:oneCellAnchor>
  <xdr:twoCellAnchor editAs="oneCell">
    <xdr:from>
      <xdr:col>17</xdr:col>
      <xdr:colOff>197069</xdr:colOff>
      <xdr:row>143</xdr:row>
      <xdr:rowOff>135760</xdr:rowOff>
    </xdr:from>
    <xdr:to>
      <xdr:col>21</xdr:col>
      <xdr:colOff>584890</xdr:colOff>
      <xdr:row>162</xdr:row>
      <xdr:rowOff>46794</xdr:rowOff>
    </xdr:to>
    <xdr:pic>
      <xdr:nvPicPr>
        <xdr:cNvPr id="4" name="Grafik 3" descr="Hydraulischer Abgleich - Auslegungstemperaturen">
          <a:extLst>
            <a:ext uri="{FF2B5EF4-FFF2-40B4-BE49-F238E27FC236}">
              <a16:creationId xmlns:a16="http://schemas.microsoft.com/office/drawing/2014/main" id="{0779BC5A-1F42-47CC-BCCF-AA9FB3DE83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24249" y="28325950"/>
          <a:ext cx="4574183" cy="3092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125507</xdr:colOff>
      <xdr:row>101</xdr:row>
      <xdr:rowOff>140369</xdr:rowOff>
    </xdr:from>
    <xdr:to>
      <xdr:col>27</xdr:col>
      <xdr:colOff>705201</xdr:colOff>
      <xdr:row>130</xdr:row>
      <xdr:rowOff>52982</xdr:rowOff>
    </xdr:to>
    <xdr:pic>
      <xdr:nvPicPr>
        <xdr:cNvPr id="5" name="Grafik 4">
          <a:extLst>
            <a:ext uri="{FF2B5EF4-FFF2-40B4-BE49-F238E27FC236}">
              <a16:creationId xmlns:a16="http://schemas.microsoft.com/office/drawing/2014/main" id="{FDD7E39E-78C3-4D2D-9C03-E4663F4285C4}"/>
            </a:ext>
          </a:extLst>
        </xdr:cNvPr>
        <xdr:cNvPicPr>
          <a:picLocks noChangeAspect="1"/>
        </xdr:cNvPicPr>
      </xdr:nvPicPr>
      <xdr:blipFill>
        <a:blip xmlns:r="http://schemas.openxmlformats.org/officeDocument/2006/relationships" r:embed="rId4"/>
        <a:stretch>
          <a:fillRect/>
        </a:stretch>
      </xdr:blipFill>
      <xdr:spPr>
        <a:xfrm>
          <a:off x="14039627" y="21628769"/>
          <a:ext cx="8147348" cy="4636682"/>
        </a:xfrm>
        <a:prstGeom prst="rect">
          <a:avLst/>
        </a:prstGeom>
      </xdr:spPr>
    </xdr:pic>
    <xdr:clientData/>
  </xdr:twoCellAnchor>
  <xdr:twoCellAnchor editAs="oneCell">
    <xdr:from>
      <xdr:col>19</xdr:col>
      <xdr:colOff>658</xdr:colOff>
      <xdr:row>162</xdr:row>
      <xdr:rowOff>67238</xdr:rowOff>
    </xdr:from>
    <xdr:to>
      <xdr:col>23</xdr:col>
      <xdr:colOff>18625</xdr:colOff>
      <xdr:row>178</xdr:row>
      <xdr:rowOff>96082</xdr:rowOff>
    </xdr:to>
    <xdr:pic>
      <xdr:nvPicPr>
        <xdr:cNvPr id="6" name="Grafik 5">
          <a:extLst>
            <a:ext uri="{FF2B5EF4-FFF2-40B4-BE49-F238E27FC236}">
              <a16:creationId xmlns:a16="http://schemas.microsoft.com/office/drawing/2014/main" id="{6ADCFEEC-7304-4596-A01D-9A0E2D64FA3C}"/>
            </a:ext>
          </a:extLst>
        </xdr:cNvPr>
        <xdr:cNvPicPr>
          <a:picLocks noChangeAspect="1"/>
        </xdr:cNvPicPr>
      </xdr:nvPicPr>
      <xdr:blipFill>
        <a:blip xmlns:r="http://schemas.openxmlformats.org/officeDocument/2006/relationships" r:embed="rId5"/>
        <a:stretch>
          <a:fillRect/>
        </a:stretch>
      </xdr:blipFill>
      <xdr:spPr>
        <a:xfrm>
          <a:off x="13914778" y="31438778"/>
          <a:ext cx="4446181" cy="3972194"/>
        </a:xfrm>
        <a:prstGeom prst="rect">
          <a:avLst/>
        </a:prstGeom>
      </xdr:spPr>
    </xdr:pic>
    <xdr:clientData/>
  </xdr:twoCellAnchor>
  <xdr:twoCellAnchor editAs="oneCell">
    <xdr:from>
      <xdr:col>10</xdr:col>
      <xdr:colOff>58270</xdr:colOff>
      <xdr:row>118</xdr:row>
      <xdr:rowOff>22412</xdr:rowOff>
    </xdr:from>
    <xdr:to>
      <xdr:col>19</xdr:col>
      <xdr:colOff>11288</xdr:colOff>
      <xdr:row>140</xdr:row>
      <xdr:rowOff>142201</xdr:rowOff>
    </xdr:to>
    <xdr:pic>
      <xdr:nvPicPr>
        <xdr:cNvPr id="7" name="Grafik 6">
          <a:extLst>
            <a:ext uri="{FF2B5EF4-FFF2-40B4-BE49-F238E27FC236}">
              <a16:creationId xmlns:a16="http://schemas.microsoft.com/office/drawing/2014/main" id="{958DE9EA-37FF-4AD4-ACDD-B6BC25AD38FD}"/>
            </a:ext>
          </a:extLst>
        </xdr:cNvPr>
        <xdr:cNvPicPr>
          <a:picLocks noChangeAspect="1"/>
        </xdr:cNvPicPr>
      </xdr:nvPicPr>
      <xdr:blipFill>
        <a:blip xmlns:r="http://schemas.openxmlformats.org/officeDocument/2006/relationships" r:embed="rId6"/>
        <a:stretch>
          <a:fillRect/>
        </a:stretch>
      </xdr:blipFill>
      <xdr:spPr>
        <a:xfrm>
          <a:off x="6859120" y="24280682"/>
          <a:ext cx="7066288" cy="35830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896C~1.PET/AppData/Local/Temp/DE_SMART_SPP_LCC_CO2_tool_v1-5b.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ingbu\Dropbox\VZ\20230919%20Heizung%20Mobilitaet%20uebersicht.xlsb.xlsx" TargetMode="External"/><Relationship Id="rId1" Type="http://schemas.openxmlformats.org/officeDocument/2006/relationships/externalLinkPath" Target="/Users/ingbu/Dropbox/VZ/20230919%20Heizung%20Mobilitaet%20uebersicht.xls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gbu/AppData/Roaming/Microsoft/Excel/Gradtagzahlen-Deutschland%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m/AppData/Local/Temp/Berechnung%20f&#252;r%20Energiestr&#246;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inleitung"/>
      <sheetName val="Hauptseite"/>
      <sheetName val="LCC_Diagramme"/>
      <sheetName val="CO2_Diagramme"/>
      <sheetName val="Angebotsbewertung"/>
      <sheetName val="Umrechnungsfaktoren"/>
      <sheetName val="Glossar"/>
      <sheetName val="Emissionsfaktoren"/>
      <sheetName val="Regelmäßige Investitionen"/>
      <sheetName val="Betrieb"/>
      <sheetName val="Wartung"/>
      <sheetName val="CO2"/>
      <sheetName val="Jährliche LCC-Berechnung"/>
      <sheetName val="calc_CO2"/>
      <sheetName val="diverse"/>
      <sheetName val="MemoQ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[AUSWÄHLEN]</v>
          </cell>
          <cell r="M4" t="str">
            <v>keine Angabe</v>
          </cell>
        </row>
        <row r="5">
          <cell r="F5" t="str">
            <v>Belgien</v>
          </cell>
          <cell r="J5" t="str">
            <v>k.A.</v>
          </cell>
          <cell r="M5">
            <v>1</v>
          </cell>
        </row>
        <row r="6">
          <cell r="F6" t="str">
            <v>Bulgarien</v>
          </cell>
          <cell r="J6" t="str">
            <v>Produkt A</v>
          </cell>
          <cell r="M6">
            <v>2</v>
          </cell>
        </row>
        <row r="7">
          <cell r="F7" t="str">
            <v>Dänemark</v>
          </cell>
          <cell r="J7" t="str">
            <v>Produkt B</v>
          </cell>
          <cell r="M7">
            <v>3</v>
          </cell>
        </row>
        <row r="8">
          <cell r="F8" t="str">
            <v>Deutschland</v>
          </cell>
          <cell r="J8" t="str">
            <v>Produkt C</v>
          </cell>
          <cell r="M8">
            <v>4</v>
          </cell>
        </row>
        <row r="9">
          <cell r="F9" t="str">
            <v>Estland</v>
          </cell>
          <cell r="J9" t="str">
            <v>Produkt D</v>
          </cell>
          <cell r="M9">
            <v>5</v>
          </cell>
        </row>
        <row r="10">
          <cell r="F10" t="str">
            <v>Finnland</v>
          </cell>
          <cell r="J10" t="str">
            <v>Produkt E</v>
          </cell>
          <cell r="M10">
            <v>6</v>
          </cell>
        </row>
        <row r="11">
          <cell r="F11" t="str">
            <v>Frankreich</v>
          </cell>
          <cell r="J11" t="str">
            <v>Produkt F</v>
          </cell>
          <cell r="M11">
            <v>7</v>
          </cell>
        </row>
        <row r="12">
          <cell r="F12" t="str">
            <v>Griechenland</v>
          </cell>
          <cell r="J12" t="str">
            <v>Produkt G</v>
          </cell>
          <cell r="M12">
            <v>8</v>
          </cell>
        </row>
        <row r="13">
          <cell r="F13" t="str">
            <v>Irland</v>
          </cell>
          <cell r="J13" t="str">
            <v>Produkt H</v>
          </cell>
          <cell r="M13">
            <v>9</v>
          </cell>
        </row>
        <row r="14">
          <cell r="F14" t="str">
            <v>Italien</v>
          </cell>
          <cell r="J14" t="str">
            <v>Produkt I</v>
          </cell>
          <cell r="M14">
            <v>10</v>
          </cell>
        </row>
        <row r="15">
          <cell r="F15" t="str">
            <v>Lettland</v>
          </cell>
          <cell r="J15" t="str">
            <v>Produkt J</v>
          </cell>
          <cell r="M15">
            <v>11</v>
          </cell>
        </row>
        <row r="16">
          <cell r="F16" t="str">
            <v>Litauen</v>
          </cell>
          <cell r="J16" t="str">
            <v>Produkt K</v>
          </cell>
          <cell r="M16">
            <v>12</v>
          </cell>
        </row>
        <row r="17">
          <cell r="F17" t="str">
            <v>Luxemburg</v>
          </cell>
          <cell r="J17" t="str">
            <v>Produkt L</v>
          </cell>
          <cell r="M17">
            <v>13</v>
          </cell>
        </row>
        <row r="18">
          <cell r="F18" t="str">
            <v>Malta</v>
          </cell>
          <cell r="J18" t="str">
            <v>Produkt M</v>
          </cell>
          <cell r="M18">
            <v>14</v>
          </cell>
        </row>
        <row r="19">
          <cell r="F19" t="str">
            <v>Niederlande</v>
          </cell>
          <cell r="J19" t="str">
            <v>Produkt N</v>
          </cell>
          <cell r="M19">
            <v>15</v>
          </cell>
        </row>
        <row r="20">
          <cell r="F20" t="str">
            <v>Österreich</v>
          </cell>
          <cell r="J20" t="str">
            <v>Produkt O</v>
          </cell>
          <cell r="M20">
            <v>16</v>
          </cell>
        </row>
        <row r="21">
          <cell r="F21" t="str">
            <v>Polen</v>
          </cell>
          <cell r="M21">
            <v>17</v>
          </cell>
        </row>
        <row r="22">
          <cell r="F22" t="str">
            <v>Portugal</v>
          </cell>
          <cell r="M22">
            <v>18</v>
          </cell>
        </row>
        <row r="23">
          <cell r="F23" t="str">
            <v>Rumänien</v>
          </cell>
          <cell r="M23">
            <v>19</v>
          </cell>
        </row>
        <row r="24">
          <cell r="F24" t="str">
            <v>Schweden</v>
          </cell>
          <cell r="M24">
            <v>20</v>
          </cell>
        </row>
        <row r="25">
          <cell r="F25" t="str">
            <v>Slowakei</v>
          </cell>
          <cell r="M25">
            <v>21</v>
          </cell>
        </row>
        <row r="26">
          <cell r="F26" t="str">
            <v>Slowenien</v>
          </cell>
          <cell r="M26">
            <v>22</v>
          </cell>
        </row>
        <row r="27">
          <cell r="F27" t="str">
            <v>Spanien</v>
          </cell>
          <cell r="M27">
            <v>23</v>
          </cell>
        </row>
        <row r="28">
          <cell r="F28" t="str">
            <v>Tschechische Republik</v>
          </cell>
          <cell r="M28">
            <v>24</v>
          </cell>
        </row>
        <row r="29">
          <cell r="F29" t="str">
            <v>Ungarn</v>
          </cell>
          <cell r="M29">
            <v>25</v>
          </cell>
        </row>
        <row r="30">
          <cell r="F30" t="str">
            <v>Vereinigtes Königreich</v>
          </cell>
        </row>
        <row r="31">
          <cell r="F31" t="str">
            <v>Zypern</v>
          </cell>
        </row>
        <row r="32">
          <cell r="F32" t="str">
            <v>Anderes Land</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übersicht"/>
      <sheetName val="hydraulisch Abglei 190815"/>
      <sheetName val="HFH Abrechnung"/>
      <sheetName val="Heiz Planung"/>
      <sheetName val="Planung"/>
      <sheetName val="Verschlechterungsverbot"/>
      <sheetName val="Übersicht Förderungen Heizung"/>
      <sheetName val="Heizlast Bestand nach 12831"/>
      <sheetName val="Heizlast Bestand"/>
      <sheetName val="Heizlast Neubau"/>
      <sheetName val="Kühllast Neubau"/>
      <sheetName val="Kühlung"/>
      <sheetName val="WP Sonde Kollektor"/>
      <sheetName val="U-Wert vereinfacht"/>
      <sheetName val="PV 09.06"/>
      <sheetName val="Laden 09.06"/>
      <sheetName val="Kindgerecht-nicht nach öff Hand"/>
      <sheetName val="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läuterungen"/>
      <sheetName val="UserForm"/>
      <sheetName val="Info"/>
      <sheetName val="Calc.Evaluation"/>
      <sheetName val="Tab.StationMapping"/>
      <sheetName val="List.Station.TA"/>
      <sheetName val="List.Exclude.Station.TA"/>
      <sheetName val="Data.TA.HD"/>
      <sheetName val="Data.Sol"/>
      <sheetName val="Tab.Estim.Sol.Orient"/>
    </sheetNames>
    <sheetDataSet>
      <sheetData sheetId="0"/>
      <sheetData sheetId="1">
        <row r="10">
          <cell r="AI10">
            <v>1</v>
          </cell>
        </row>
        <row r="12">
          <cell r="AI12">
            <v>2</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bäude"/>
      <sheetName val="Standardwerte Klima"/>
    </sheetNames>
    <sheetDataSet>
      <sheetData sheetId="0" refreshError="1"/>
      <sheetData sheetId="1">
        <row r="6">
          <cell r="O6" t="str">
            <v>aktuell</v>
          </cell>
        </row>
        <row r="8">
          <cell r="O8">
            <v>3.5507499999999999</v>
          </cell>
        </row>
        <row r="12">
          <cell r="O12">
            <v>15</v>
          </cell>
        </row>
        <row r="14">
          <cell r="O14">
            <v>275</v>
          </cell>
        </row>
        <row r="17">
          <cell r="O17">
            <v>86.4</v>
          </cell>
        </row>
        <row r="18">
          <cell r="O18">
            <v>82.08</v>
          </cell>
        </row>
        <row r="21">
          <cell r="N21" t="str">
            <v>H</v>
          </cell>
          <cell r="O21">
            <v>745</v>
          </cell>
        </row>
        <row r="22">
          <cell r="N22" t="str">
            <v>S</v>
          </cell>
          <cell r="O22">
            <v>584</v>
          </cell>
        </row>
        <row r="23">
          <cell r="N23" t="str">
            <v>SO/SW</v>
          </cell>
          <cell r="O23">
            <v>565</v>
          </cell>
        </row>
        <row r="24">
          <cell r="N24" t="str">
            <v>O/W</v>
          </cell>
          <cell r="O24">
            <v>480</v>
          </cell>
        </row>
        <row r="25">
          <cell r="N25" t="str">
            <v>NO/NW</v>
          </cell>
          <cell r="O25">
            <v>400</v>
          </cell>
        </row>
        <row r="26">
          <cell r="N26" t="str">
            <v>N</v>
          </cell>
          <cell r="O26">
            <v>295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iebel-eltron.de/toolbox/heizl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63DAC-B4A7-4559-8979-9EF50940A346}">
  <sheetPr>
    <pageSetUpPr fitToPage="1"/>
  </sheetPr>
  <dimension ref="A1:AB202"/>
  <sheetViews>
    <sheetView showGridLines="0" tabSelected="1" zoomScale="115" zoomScaleNormal="115" workbookViewId="0">
      <selection activeCell="L1" sqref="L1"/>
    </sheetView>
  </sheetViews>
  <sheetFormatPr baseColWidth="10" defaultColWidth="10.83984375" defaultRowHeight="12.3"/>
  <cols>
    <col min="1" max="1" width="2.734375" style="2" customWidth="1"/>
    <col min="2" max="2" width="11.1015625" style="2" customWidth="1"/>
    <col min="3" max="3" width="12.68359375" style="2" customWidth="1"/>
    <col min="4" max="16" width="9.62890625" style="2" customWidth="1"/>
    <col min="17" max="17" width="10.26171875" style="2" customWidth="1"/>
    <col min="18" max="18" width="10.83984375" style="2" customWidth="1"/>
    <col min="19" max="19" width="19.3671875" style="2" customWidth="1"/>
    <col min="20" max="20" width="10.83984375" style="2"/>
    <col min="21" max="23" width="16.7890625" style="2" customWidth="1"/>
    <col min="24" max="16384" width="10.83984375" style="2"/>
  </cols>
  <sheetData>
    <row r="1" spans="2:25" ht="17.7">
      <c r="B1" s="1" t="s">
        <v>0</v>
      </c>
      <c r="K1" s="182"/>
      <c r="L1" s="183" t="s">
        <v>199</v>
      </c>
      <c r="T1" s="3">
        <v>0.06</v>
      </c>
      <c r="U1" s="181">
        <v>3</v>
      </c>
      <c r="V1" s="4"/>
      <c r="W1" s="4"/>
      <c r="Y1" s="4"/>
    </row>
    <row r="2" spans="2:25" ht="30.75" customHeight="1">
      <c r="B2" s="5"/>
      <c r="D2" s="6" t="s">
        <v>1</v>
      </c>
      <c r="E2" s="7"/>
      <c r="F2" s="7"/>
      <c r="G2" s="7"/>
      <c r="H2" s="7"/>
      <c r="I2" s="7"/>
      <c r="J2" s="7"/>
      <c r="K2" s="7"/>
      <c r="L2" s="7"/>
      <c r="M2" s="7"/>
      <c r="N2" s="8"/>
      <c r="O2" s="9"/>
      <c r="S2" s="10" t="s">
        <v>2</v>
      </c>
      <c r="T2" s="11" t="s">
        <v>3</v>
      </c>
      <c r="U2" s="12" t="str">
        <f>CONCATENATE("Strom Inland mit Faktor ",$U$1," für zB. Wärmepumpen")</f>
        <v>Strom Inland mit Faktor 3 für zB. Wärmepumpen</v>
      </c>
      <c r="V2" s="11" t="s">
        <v>4</v>
      </c>
      <c r="W2" s="11" t="s">
        <v>5</v>
      </c>
    </row>
    <row r="3" spans="2:25" s="15" customFormat="1" ht="37.200000000000003" thickBot="1">
      <c r="B3" s="10" t="s">
        <v>6</v>
      </c>
      <c r="C3" s="10" t="s">
        <v>7</v>
      </c>
      <c r="D3" s="13">
        <v>40</v>
      </c>
      <c r="E3" s="13">
        <v>60</v>
      </c>
      <c r="F3" s="13">
        <v>80</v>
      </c>
      <c r="G3" s="13">
        <v>100</v>
      </c>
      <c r="H3" s="13">
        <v>120</v>
      </c>
      <c r="I3" s="13">
        <v>140</v>
      </c>
      <c r="J3" s="13">
        <v>160</v>
      </c>
      <c r="K3" s="13">
        <v>180</v>
      </c>
      <c r="L3" s="13">
        <v>200</v>
      </c>
      <c r="M3" s="13">
        <v>220</v>
      </c>
      <c r="N3" s="13">
        <v>240</v>
      </c>
      <c r="O3" s="14">
        <v>6800</v>
      </c>
      <c r="Q3" s="10" t="s">
        <v>6</v>
      </c>
      <c r="R3" s="10" t="s">
        <v>7</v>
      </c>
      <c r="S3" s="16">
        <v>2100</v>
      </c>
      <c r="T3" s="10" t="s">
        <v>8</v>
      </c>
      <c r="U3" s="180">
        <v>0.53700000000000003</v>
      </c>
      <c r="V3" s="180">
        <v>0.26600000000000001</v>
      </c>
      <c r="W3" s="180">
        <v>0.20200000000000001</v>
      </c>
    </row>
    <row r="4" spans="2:25" ht="13.8">
      <c r="B4" s="17" t="s">
        <v>9</v>
      </c>
      <c r="C4" s="18" t="s">
        <v>10</v>
      </c>
      <c r="D4" s="19" t="str">
        <f>CONCATENATE("(",LEFT($C4,3)," * ",D$3,")/1000)=",ROUND(((LEFT($C4,3)*D$3)/1000),0))</f>
        <v>(180 * 40)/1000)=7</v>
      </c>
      <c r="E4" s="20">
        <f t="shared" ref="E4:O12" si="0">ROUND(((LEFT($C4,3)*E$3)/1000),0)</f>
        <v>11</v>
      </c>
      <c r="F4" s="20">
        <f t="shared" si="0"/>
        <v>14</v>
      </c>
      <c r="G4" s="20">
        <f t="shared" si="0"/>
        <v>18</v>
      </c>
      <c r="H4" s="20">
        <f t="shared" si="0"/>
        <v>22</v>
      </c>
      <c r="I4" s="20">
        <f t="shared" si="0"/>
        <v>25</v>
      </c>
      <c r="J4" s="20">
        <f t="shared" si="0"/>
        <v>29</v>
      </c>
      <c r="K4" s="20">
        <f t="shared" si="0"/>
        <v>32</v>
      </c>
      <c r="L4" s="20">
        <f t="shared" si="0"/>
        <v>36</v>
      </c>
      <c r="M4" s="20">
        <f t="shared" si="0"/>
        <v>40</v>
      </c>
      <c r="N4" s="20">
        <f t="shared" si="0"/>
        <v>43</v>
      </c>
      <c r="O4" s="20">
        <f t="shared" si="0"/>
        <v>1224</v>
      </c>
      <c r="Q4" s="17" t="s">
        <v>9</v>
      </c>
      <c r="R4" s="18" t="s">
        <v>10</v>
      </c>
      <c r="S4" s="21">
        <f t="shared" ref="S4:S12" si="1">O4*$S$3</f>
        <v>2570400</v>
      </c>
      <c r="T4" s="22">
        <f t="shared" ref="T4:T12" si="2">S4*$T$1</f>
        <v>154224</v>
      </c>
      <c r="U4" s="23">
        <f>(S4*$U$3/1000)/$U$1</f>
        <v>460.10160000000002</v>
      </c>
      <c r="V4" s="23">
        <f t="shared" ref="V4:V12" si="3">S4*$V$3/1000</f>
        <v>683.72640000000001</v>
      </c>
      <c r="W4" s="23">
        <f t="shared" ref="W4:W12" si="4">S4*$V$3/1000</f>
        <v>683.72640000000001</v>
      </c>
    </row>
    <row r="5" spans="2:25" ht="13.8">
      <c r="B5" s="17" t="s">
        <v>11</v>
      </c>
      <c r="C5" s="18" t="s">
        <v>12</v>
      </c>
      <c r="D5" s="24">
        <f t="shared" ref="D5:D12" si="5">ROUND(((LEFT($C5,3)*D$3)/1000),0)</f>
        <v>7</v>
      </c>
      <c r="E5" s="25">
        <f t="shared" si="0"/>
        <v>10</v>
      </c>
      <c r="F5" s="25">
        <f t="shared" si="0"/>
        <v>14</v>
      </c>
      <c r="G5" s="25">
        <f t="shared" si="0"/>
        <v>17</v>
      </c>
      <c r="H5" s="25">
        <f t="shared" si="0"/>
        <v>20</v>
      </c>
      <c r="I5" s="25">
        <f t="shared" si="0"/>
        <v>24</v>
      </c>
      <c r="J5" s="25">
        <f t="shared" si="0"/>
        <v>27</v>
      </c>
      <c r="K5" s="25">
        <f t="shared" si="0"/>
        <v>31</v>
      </c>
      <c r="L5" s="25">
        <f t="shared" si="0"/>
        <v>34</v>
      </c>
      <c r="M5" s="25">
        <f t="shared" si="0"/>
        <v>37</v>
      </c>
      <c r="N5" s="25">
        <f t="shared" si="0"/>
        <v>41</v>
      </c>
      <c r="O5" s="25">
        <f t="shared" si="0"/>
        <v>1156</v>
      </c>
      <c r="Q5" s="17" t="s">
        <v>11</v>
      </c>
      <c r="R5" s="18" t="s">
        <v>12</v>
      </c>
      <c r="S5" s="21">
        <f t="shared" si="1"/>
        <v>2427600</v>
      </c>
      <c r="T5" s="22">
        <f t="shared" si="2"/>
        <v>145656</v>
      </c>
      <c r="U5" s="23">
        <f t="shared" ref="U5:U12" si="6">(S5*$U$3/1000)/$U$1</f>
        <v>434.54040000000009</v>
      </c>
      <c r="V5" s="23">
        <f t="shared" si="3"/>
        <v>645.74159999999995</v>
      </c>
      <c r="W5" s="23">
        <f t="shared" si="4"/>
        <v>645.74159999999995</v>
      </c>
    </row>
    <row r="6" spans="2:25" ht="13.8">
      <c r="B6" s="17" t="s">
        <v>13</v>
      </c>
      <c r="C6" s="18" t="s">
        <v>14</v>
      </c>
      <c r="D6" s="24">
        <f t="shared" si="5"/>
        <v>6</v>
      </c>
      <c r="E6" s="25">
        <f t="shared" si="0"/>
        <v>9</v>
      </c>
      <c r="F6" s="25">
        <f t="shared" si="0"/>
        <v>12</v>
      </c>
      <c r="G6" s="25">
        <f t="shared" si="0"/>
        <v>15</v>
      </c>
      <c r="H6" s="25">
        <f t="shared" si="0"/>
        <v>18</v>
      </c>
      <c r="I6" s="25">
        <f t="shared" si="0"/>
        <v>21</v>
      </c>
      <c r="J6" s="25">
        <f t="shared" si="0"/>
        <v>24</v>
      </c>
      <c r="K6" s="25">
        <f t="shared" si="0"/>
        <v>27</v>
      </c>
      <c r="L6" s="25">
        <f t="shared" si="0"/>
        <v>30</v>
      </c>
      <c r="M6" s="25">
        <f t="shared" si="0"/>
        <v>33</v>
      </c>
      <c r="N6" s="25">
        <f t="shared" si="0"/>
        <v>36</v>
      </c>
      <c r="O6" s="25">
        <f t="shared" si="0"/>
        <v>1020</v>
      </c>
      <c r="Q6" s="17" t="s">
        <v>13</v>
      </c>
      <c r="R6" s="18" t="s">
        <v>14</v>
      </c>
      <c r="S6" s="21">
        <f t="shared" si="1"/>
        <v>2142000</v>
      </c>
      <c r="T6" s="22">
        <f t="shared" si="2"/>
        <v>128520</v>
      </c>
      <c r="U6" s="23">
        <f t="shared" si="6"/>
        <v>383.41799999999995</v>
      </c>
      <c r="V6" s="23">
        <f t="shared" si="3"/>
        <v>569.77200000000005</v>
      </c>
      <c r="W6" s="23">
        <f t="shared" si="4"/>
        <v>569.77200000000005</v>
      </c>
    </row>
    <row r="7" spans="2:25" ht="13.8">
      <c r="B7" s="17" t="s">
        <v>15</v>
      </c>
      <c r="C7" s="18" t="s">
        <v>16</v>
      </c>
      <c r="D7" s="24">
        <f t="shared" si="5"/>
        <v>5</v>
      </c>
      <c r="E7" s="25">
        <f t="shared" si="0"/>
        <v>7</v>
      </c>
      <c r="F7" s="25">
        <f t="shared" si="0"/>
        <v>9</v>
      </c>
      <c r="G7" s="25">
        <f t="shared" si="0"/>
        <v>12</v>
      </c>
      <c r="H7" s="25">
        <f t="shared" si="0"/>
        <v>14</v>
      </c>
      <c r="I7" s="25">
        <f t="shared" si="0"/>
        <v>16</v>
      </c>
      <c r="J7" s="25">
        <f t="shared" si="0"/>
        <v>18</v>
      </c>
      <c r="K7" s="25">
        <f t="shared" si="0"/>
        <v>21</v>
      </c>
      <c r="L7" s="25">
        <f t="shared" si="0"/>
        <v>23</v>
      </c>
      <c r="M7" s="25">
        <f t="shared" si="0"/>
        <v>25</v>
      </c>
      <c r="N7" s="25">
        <f t="shared" si="0"/>
        <v>28</v>
      </c>
      <c r="O7" s="25">
        <f t="shared" si="0"/>
        <v>782</v>
      </c>
      <c r="Q7" s="17" t="s">
        <v>15</v>
      </c>
      <c r="R7" s="18" t="s">
        <v>16</v>
      </c>
      <c r="S7" s="21">
        <f t="shared" si="1"/>
        <v>1642200</v>
      </c>
      <c r="T7" s="22">
        <f t="shared" si="2"/>
        <v>98532</v>
      </c>
      <c r="U7" s="23">
        <f t="shared" si="6"/>
        <v>293.9538</v>
      </c>
      <c r="V7" s="23">
        <f t="shared" si="3"/>
        <v>436.8252</v>
      </c>
      <c r="W7" s="23">
        <f t="shared" si="4"/>
        <v>436.8252</v>
      </c>
    </row>
    <row r="8" spans="2:25" ht="13.8">
      <c r="B8" s="17" t="s">
        <v>17</v>
      </c>
      <c r="C8" s="18" t="s">
        <v>18</v>
      </c>
      <c r="D8" s="24">
        <f t="shared" si="5"/>
        <v>4</v>
      </c>
      <c r="E8" s="25">
        <f t="shared" si="0"/>
        <v>6</v>
      </c>
      <c r="F8" s="25">
        <f t="shared" si="0"/>
        <v>8</v>
      </c>
      <c r="G8" s="25">
        <f t="shared" si="0"/>
        <v>10</v>
      </c>
      <c r="H8" s="25">
        <f t="shared" si="0"/>
        <v>11</v>
      </c>
      <c r="I8" s="25">
        <f t="shared" si="0"/>
        <v>13</v>
      </c>
      <c r="J8" s="25">
        <f t="shared" si="0"/>
        <v>15</v>
      </c>
      <c r="K8" s="25">
        <f t="shared" si="0"/>
        <v>17</v>
      </c>
      <c r="L8" s="25">
        <f t="shared" si="0"/>
        <v>19</v>
      </c>
      <c r="M8" s="25">
        <f t="shared" si="0"/>
        <v>21</v>
      </c>
      <c r="N8" s="25">
        <f t="shared" si="0"/>
        <v>23</v>
      </c>
      <c r="O8" s="25">
        <f t="shared" si="0"/>
        <v>646</v>
      </c>
      <c r="Q8" s="17" t="s">
        <v>17</v>
      </c>
      <c r="R8" s="18" t="s">
        <v>18</v>
      </c>
      <c r="S8" s="21">
        <f t="shared" si="1"/>
        <v>1356600</v>
      </c>
      <c r="T8" s="22">
        <f t="shared" si="2"/>
        <v>81396</v>
      </c>
      <c r="U8" s="23">
        <f t="shared" si="6"/>
        <v>242.83140000000003</v>
      </c>
      <c r="V8" s="23">
        <f t="shared" si="3"/>
        <v>360.85560000000004</v>
      </c>
      <c r="W8" s="23">
        <f t="shared" si="4"/>
        <v>360.85560000000004</v>
      </c>
    </row>
    <row r="9" spans="2:25" ht="13.8">
      <c r="B9" s="17" t="s">
        <v>19</v>
      </c>
      <c r="C9" s="18" t="s">
        <v>20</v>
      </c>
      <c r="D9" s="24">
        <f t="shared" si="5"/>
        <v>3</v>
      </c>
      <c r="E9" s="25">
        <f t="shared" si="0"/>
        <v>5</v>
      </c>
      <c r="F9" s="25">
        <f t="shared" si="0"/>
        <v>6</v>
      </c>
      <c r="G9" s="25">
        <f t="shared" si="0"/>
        <v>8</v>
      </c>
      <c r="H9" s="25">
        <f t="shared" si="0"/>
        <v>9</v>
      </c>
      <c r="I9" s="25">
        <f t="shared" si="0"/>
        <v>11</v>
      </c>
      <c r="J9" s="25">
        <f t="shared" si="0"/>
        <v>12</v>
      </c>
      <c r="K9" s="25">
        <f t="shared" si="0"/>
        <v>14</v>
      </c>
      <c r="L9" s="25">
        <f t="shared" si="0"/>
        <v>15</v>
      </c>
      <c r="M9" s="25">
        <f t="shared" si="0"/>
        <v>17</v>
      </c>
      <c r="N9" s="25">
        <f t="shared" si="0"/>
        <v>18</v>
      </c>
      <c r="O9" s="25">
        <f t="shared" si="0"/>
        <v>510</v>
      </c>
      <c r="Q9" s="17" t="s">
        <v>19</v>
      </c>
      <c r="R9" s="18" t="s">
        <v>20</v>
      </c>
      <c r="S9" s="21">
        <f t="shared" si="1"/>
        <v>1071000</v>
      </c>
      <c r="T9" s="22">
        <f t="shared" si="2"/>
        <v>64260</v>
      </c>
      <c r="U9" s="23">
        <f t="shared" si="6"/>
        <v>191.70899999999997</v>
      </c>
      <c r="V9" s="23">
        <f t="shared" si="3"/>
        <v>284.88600000000002</v>
      </c>
      <c r="W9" s="23">
        <f t="shared" si="4"/>
        <v>284.88600000000002</v>
      </c>
    </row>
    <row r="10" spans="2:25" ht="13.8">
      <c r="B10" s="17" t="s">
        <v>21</v>
      </c>
      <c r="C10" s="18" t="s">
        <v>22</v>
      </c>
      <c r="D10" s="24">
        <f t="shared" si="5"/>
        <v>2</v>
      </c>
      <c r="E10" s="25">
        <f t="shared" si="0"/>
        <v>4</v>
      </c>
      <c r="F10" s="25">
        <f t="shared" si="0"/>
        <v>5</v>
      </c>
      <c r="G10" s="25">
        <f t="shared" si="0"/>
        <v>6</v>
      </c>
      <c r="H10" s="25">
        <f t="shared" si="0"/>
        <v>7</v>
      </c>
      <c r="I10" s="25">
        <f t="shared" si="0"/>
        <v>8</v>
      </c>
      <c r="J10" s="25">
        <f t="shared" si="0"/>
        <v>10</v>
      </c>
      <c r="K10" s="25">
        <f t="shared" si="0"/>
        <v>11</v>
      </c>
      <c r="L10" s="25">
        <f t="shared" si="0"/>
        <v>12</v>
      </c>
      <c r="M10" s="25">
        <f t="shared" si="0"/>
        <v>13</v>
      </c>
      <c r="N10" s="25">
        <f t="shared" si="0"/>
        <v>14</v>
      </c>
      <c r="O10" s="25">
        <f t="shared" si="0"/>
        <v>408</v>
      </c>
      <c r="Q10" s="17" t="s">
        <v>21</v>
      </c>
      <c r="R10" s="18" t="s">
        <v>22</v>
      </c>
      <c r="S10" s="21">
        <f t="shared" si="1"/>
        <v>856800</v>
      </c>
      <c r="T10" s="22">
        <f t="shared" si="2"/>
        <v>51408</v>
      </c>
      <c r="U10" s="23">
        <f t="shared" si="6"/>
        <v>153.3672</v>
      </c>
      <c r="V10" s="23">
        <f t="shared" si="3"/>
        <v>227.90880000000001</v>
      </c>
      <c r="W10" s="23">
        <f t="shared" si="4"/>
        <v>227.90880000000001</v>
      </c>
    </row>
    <row r="11" spans="2:25" ht="13.8">
      <c r="B11" s="17" t="s">
        <v>23</v>
      </c>
      <c r="C11" s="18" t="s">
        <v>24</v>
      </c>
      <c r="D11" s="24">
        <f t="shared" si="5"/>
        <v>1</v>
      </c>
      <c r="E11" s="25">
        <f t="shared" si="0"/>
        <v>2</v>
      </c>
      <c r="F11" s="25">
        <f t="shared" si="0"/>
        <v>3</v>
      </c>
      <c r="G11" s="25">
        <f t="shared" si="0"/>
        <v>4</v>
      </c>
      <c r="H11" s="25">
        <f t="shared" si="0"/>
        <v>4</v>
      </c>
      <c r="I11" s="25">
        <f t="shared" si="0"/>
        <v>5</v>
      </c>
      <c r="J11" s="25">
        <f t="shared" si="0"/>
        <v>6</v>
      </c>
      <c r="K11" s="25">
        <f t="shared" si="0"/>
        <v>6</v>
      </c>
      <c r="L11" s="25">
        <f t="shared" si="0"/>
        <v>7</v>
      </c>
      <c r="M11" s="25">
        <f t="shared" si="0"/>
        <v>8</v>
      </c>
      <c r="N11" s="25">
        <f t="shared" si="0"/>
        <v>8</v>
      </c>
      <c r="O11" s="25">
        <f t="shared" si="0"/>
        <v>238</v>
      </c>
      <c r="Q11" s="17" t="s">
        <v>23</v>
      </c>
      <c r="R11" s="18" t="s">
        <v>24</v>
      </c>
      <c r="S11" s="21">
        <f t="shared" si="1"/>
        <v>499800</v>
      </c>
      <c r="T11" s="22">
        <f t="shared" si="2"/>
        <v>29988</v>
      </c>
      <c r="U11" s="23">
        <f t="shared" si="6"/>
        <v>89.464200000000005</v>
      </c>
      <c r="V11" s="23">
        <f t="shared" si="3"/>
        <v>132.94680000000002</v>
      </c>
      <c r="W11" s="23">
        <f t="shared" si="4"/>
        <v>132.94680000000002</v>
      </c>
    </row>
    <row r="12" spans="2:25" ht="14.4">
      <c r="B12" s="17" t="s">
        <v>25</v>
      </c>
      <c r="C12" s="18" t="s">
        <v>26</v>
      </c>
      <c r="D12" s="24">
        <f t="shared" si="5"/>
        <v>1</v>
      </c>
      <c r="E12" s="25">
        <f t="shared" si="0"/>
        <v>1</v>
      </c>
      <c r="F12" s="25">
        <f t="shared" si="0"/>
        <v>1</v>
      </c>
      <c r="G12" s="25">
        <f t="shared" si="0"/>
        <v>2</v>
      </c>
      <c r="H12" s="25">
        <f t="shared" si="0"/>
        <v>2</v>
      </c>
      <c r="I12" s="25">
        <f t="shared" si="0"/>
        <v>2</v>
      </c>
      <c r="J12" s="25">
        <f t="shared" si="0"/>
        <v>2</v>
      </c>
      <c r="K12" s="25">
        <f t="shared" si="0"/>
        <v>3</v>
      </c>
      <c r="L12" s="25">
        <f t="shared" si="0"/>
        <v>3</v>
      </c>
      <c r="M12" s="25">
        <f t="shared" si="0"/>
        <v>3</v>
      </c>
      <c r="N12" s="25">
        <f t="shared" si="0"/>
        <v>4</v>
      </c>
      <c r="O12" s="25">
        <f t="shared" si="0"/>
        <v>102</v>
      </c>
      <c r="Q12" s="17" t="s">
        <v>25</v>
      </c>
      <c r="R12" s="18" t="s">
        <v>26</v>
      </c>
      <c r="S12" s="26">
        <f t="shared" si="1"/>
        <v>214200</v>
      </c>
      <c r="T12" s="22">
        <f t="shared" si="2"/>
        <v>12852</v>
      </c>
      <c r="U12" s="23">
        <f t="shared" si="6"/>
        <v>38.341799999999999</v>
      </c>
      <c r="V12" s="23">
        <f t="shared" si="3"/>
        <v>56.977200000000003</v>
      </c>
      <c r="W12" s="23">
        <f t="shared" si="4"/>
        <v>56.977200000000003</v>
      </c>
    </row>
    <row r="13" spans="2:25" s="15" customFormat="1" ht="26.25" customHeight="1" thickBot="1">
      <c r="B13" s="10" t="s">
        <v>6</v>
      </c>
      <c r="C13" s="10" t="s">
        <v>27</v>
      </c>
      <c r="D13" s="13">
        <v>40</v>
      </c>
      <c r="E13" s="13">
        <v>60</v>
      </c>
      <c r="F13" s="13">
        <v>80</v>
      </c>
      <c r="G13" s="13">
        <v>100</v>
      </c>
      <c r="H13" s="13">
        <v>120</v>
      </c>
      <c r="I13" s="13">
        <v>140</v>
      </c>
      <c r="J13" s="13">
        <v>160</v>
      </c>
      <c r="K13" s="13">
        <v>180</v>
      </c>
      <c r="L13" s="13">
        <v>200</v>
      </c>
      <c r="M13" s="13">
        <v>220</v>
      </c>
      <c r="N13" s="13">
        <v>240</v>
      </c>
      <c r="O13" s="14">
        <v>260</v>
      </c>
      <c r="S13" s="27" t="str">
        <f>CONCATENATE("Ergebnis bei KfW 40 und besser mit ",S12,"kWh/a? Es reicht eine Teelicht Heizung mit ",ROUND(S12/(42*S3/1000)*(S3/4.5),0)," Teelichtern aus. Das wären ", ROUND(S12/(42*S3/1000)*(S3/4.5)/100,0)," Packungen zu je 3€ für 100Teelichter also ca.",ROUND(S12/(42*S3/1000)*(S3/4.5)/100*3,0),"€ für Teelichter im Jahr! Bitte die Luftqualität (VOC) beachten!" )</f>
        <v>Ergebnis bei KfW 40 und besser mit 214200kWh/a? Es reicht eine Teelicht Heizung mit 1133333 Teelichtern aus. Das wären 11333 Packungen zu je 3€ für 100Teelichter also ca.34000€ für Teelichter im Jahr! Bitte die Luftqualität (VOC) beachten!</v>
      </c>
      <c r="T13" s="27"/>
      <c r="U13" s="27"/>
      <c r="V13" s="27"/>
      <c r="W13" s="27"/>
      <c r="X13" s="27"/>
      <c r="Y13" s="27"/>
    </row>
    <row r="14" spans="2:25" ht="13.8">
      <c r="B14" s="17" t="s">
        <v>9</v>
      </c>
      <c r="C14" s="18" t="s">
        <v>28</v>
      </c>
      <c r="D14" s="28">
        <f t="shared" ref="D14:O22" si="7">ROUND(((LEFT($C14,3)*D$3)/1000),0)</f>
        <v>6</v>
      </c>
      <c r="E14" s="20">
        <f t="shared" si="7"/>
        <v>10</v>
      </c>
      <c r="F14" s="20">
        <f t="shared" si="7"/>
        <v>13</v>
      </c>
      <c r="G14" s="20">
        <f t="shared" si="7"/>
        <v>16</v>
      </c>
      <c r="H14" s="20">
        <f t="shared" si="7"/>
        <v>19</v>
      </c>
      <c r="I14" s="20">
        <f t="shared" si="7"/>
        <v>22</v>
      </c>
      <c r="J14" s="20">
        <f t="shared" si="7"/>
        <v>26</v>
      </c>
      <c r="K14" s="20">
        <f t="shared" si="7"/>
        <v>29</v>
      </c>
      <c r="L14" s="20">
        <f t="shared" si="7"/>
        <v>32</v>
      </c>
      <c r="M14" s="20">
        <f t="shared" si="7"/>
        <v>35</v>
      </c>
      <c r="N14" s="20">
        <f t="shared" si="7"/>
        <v>38</v>
      </c>
      <c r="O14" s="20">
        <f t="shared" si="7"/>
        <v>1088</v>
      </c>
      <c r="S14" s="27"/>
      <c r="T14" s="27"/>
      <c r="U14" s="27"/>
      <c r="V14" s="27"/>
      <c r="W14" s="27"/>
      <c r="X14" s="27"/>
      <c r="Y14" s="27"/>
    </row>
    <row r="15" spans="2:25" ht="13.8">
      <c r="B15" s="17" t="s">
        <v>11</v>
      </c>
      <c r="C15" s="18" t="s">
        <v>14</v>
      </c>
      <c r="D15" s="24">
        <f t="shared" si="7"/>
        <v>6</v>
      </c>
      <c r="E15" s="25">
        <f t="shared" si="7"/>
        <v>9</v>
      </c>
      <c r="F15" s="25">
        <f t="shared" si="7"/>
        <v>12</v>
      </c>
      <c r="G15" s="25">
        <f t="shared" si="7"/>
        <v>15</v>
      </c>
      <c r="H15" s="25">
        <f t="shared" si="7"/>
        <v>18</v>
      </c>
      <c r="I15" s="25">
        <f t="shared" si="7"/>
        <v>21</v>
      </c>
      <c r="J15" s="25">
        <f t="shared" si="7"/>
        <v>24</v>
      </c>
      <c r="K15" s="25">
        <f t="shared" si="7"/>
        <v>27</v>
      </c>
      <c r="L15" s="25">
        <f t="shared" si="7"/>
        <v>30</v>
      </c>
      <c r="M15" s="25">
        <f t="shared" si="7"/>
        <v>33</v>
      </c>
      <c r="N15" s="25">
        <f t="shared" si="7"/>
        <v>36</v>
      </c>
      <c r="O15" s="25">
        <f t="shared" si="7"/>
        <v>1020</v>
      </c>
      <c r="S15" s="29" t="s">
        <v>29</v>
      </c>
    </row>
    <row r="16" spans="2:25" ht="13.8">
      <c r="B16" s="17" t="s">
        <v>13</v>
      </c>
      <c r="C16" s="18" t="s">
        <v>30</v>
      </c>
      <c r="D16" s="24">
        <f t="shared" si="7"/>
        <v>5</v>
      </c>
      <c r="E16" s="25">
        <f t="shared" si="7"/>
        <v>8</v>
      </c>
      <c r="F16" s="25">
        <f t="shared" si="7"/>
        <v>10</v>
      </c>
      <c r="G16" s="25">
        <f t="shared" si="7"/>
        <v>13</v>
      </c>
      <c r="H16" s="25">
        <f t="shared" si="7"/>
        <v>16</v>
      </c>
      <c r="I16" s="25">
        <f t="shared" si="7"/>
        <v>18</v>
      </c>
      <c r="J16" s="25">
        <f t="shared" si="7"/>
        <v>21</v>
      </c>
      <c r="K16" s="25">
        <f t="shared" si="7"/>
        <v>23</v>
      </c>
      <c r="L16" s="25">
        <f t="shared" si="7"/>
        <v>26</v>
      </c>
      <c r="M16" s="25">
        <f t="shared" si="7"/>
        <v>29</v>
      </c>
      <c r="N16" s="25">
        <f t="shared" si="7"/>
        <v>31</v>
      </c>
      <c r="O16" s="25">
        <f t="shared" si="7"/>
        <v>884</v>
      </c>
      <c r="S16" s="29" t="s">
        <v>31</v>
      </c>
    </row>
    <row r="17" spans="2:28" ht="13.8">
      <c r="B17" s="17" t="s">
        <v>15</v>
      </c>
      <c r="C17" s="18" t="s">
        <v>32</v>
      </c>
      <c r="D17" s="24">
        <f t="shared" si="7"/>
        <v>4</v>
      </c>
      <c r="E17" s="25">
        <f t="shared" si="7"/>
        <v>7</v>
      </c>
      <c r="F17" s="25">
        <f t="shared" si="7"/>
        <v>9</v>
      </c>
      <c r="G17" s="25">
        <f t="shared" si="7"/>
        <v>11</v>
      </c>
      <c r="H17" s="25">
        <f t="shared" si="7"/>
        <v>13</v>
      </c>
      <c r="I17" s="25">
        <f t="shared" si="7"/>
        <v>15</v>
      </c>
      <c r="J17" s="25">
        <f t="shared" si="7"/>
        <v>18</v>
      </c>
      <c r="K17" s="25">
        <f t="shared" si="7"/>
        <v>20</v>
      </c>
      <c r="L17" s="25">
        <f t="shared" si="7"/>
        <v>22</v>
      </c>
      <c r="M17" s="25">
        <f t="shared" si="7"/>
        <v>24</v>
      </c>
      <c r="N17" s="25">
        <f t="shared" si="7"/>
        <v>26</v>
      </c>
      <c r="O17" s="25">
        <f t="shared" si="7"/>
        <v>748</v>
      </c>
      <c r="S17" s="29" t="s">
        <v>33</v>
      </c>
    </row>
    <row r="18" spans="2:28" ht="13.8">
      <c r="B18" s="17" t="s">
        <v>17</v>
      </c>
      <c r="C18" s="18" t="s">
        <v>34</v>
      </c>
      <c r="D18" s="24">
        <f t="shared" si="7"/>
        <v>4</v>
      </c>
      <c r="E18" s="25">
        <f t="shared" si="7"/>
        <v>5</v>
      </c>
      <c r="F18" s="25">
        <f t="shared" si="7"/>
        <v>7</v>
      </c>
      <c r="G18" s="25">
        <f t="shared" si="7"/>
        <v>9</v>
      </c>
      <c r="H18" s="25">
        <f t="shared" si="7"/>
        <v>11</v>
      </c>
      <c r="I18" s="25">
        <f t="shared" si="7"/>
        <v>13</v>
      </c>
      <c r="J18" s="25">
        <f t="shared" si="7"/>
        <v>14</v>
      </c>
      <c r="K18" s="25">
        <f t="shared" si="7"/>
        <v>16</v>
      </c>
      <c r="L18" s="25">
        <f t="shared" si="7"/>
        <v>18</v>
      </c>
      <c r="M18" s="25">
        <f t="shared" si="7"/>
        <v>20</v>
      </c>
      <c r="N18" s="25">
        <f t="shared" si="7"/>
        <v>22</v>
      </c>
      <c r="O18" s="25">
        <f t="shared" si="7"/>
        <v>612</v>
      </c>
      <c r="S18" s="29" t="s">
        <v>35</v>
      </c>
    </row>
    <row r="19" spans="2:28" ht="13.8">
      <c r="B19" s="17" t="s">
        <v>19</v>
      </c>
      <c r="C19" s="18" t="s">
        <v>36</v>
      </c>
      <c r="D19" s="24">
        <f t="shared" si="7"/>
        <v>3</v>
      </c>
      <c r="E19" s="25">
        <f t="shared" si="7"/>
        <v>4</v>
      </c>
      <c r="F19" s="25">
        <f t="shared" si="7"/>
        <v>6</v>
      </c>
      <c r="G19" s="25">
        <f t="shared" si="7"/>
        <v>7</v>
      </c>
      <c r="H19" s="25">
        <f t="shared" si="7"/>
        <v>8</v>
      </c>
      <c r="I19" s="25">
        <f t="shared" si="7"/>
        <v>10</v>
      </c>
      <c r="J19" s="25">
        <f t="shared" si="7"/>
        <v>11</v>
      </c>
      <c r="K19" s="25">
        <f t="shared" si="7"/>
        <v>13</v>
      </c>
      <c r="L19" s="25">
        <f t="shared" si="7"/>
        <v>14</v>
      </c>
      <c r="M19" s="25">
        <f t="shared" si="7"/>
        <v>15</v>
      </c>
      <c r="N19" s="25">
        <f t="shared" si="7"/>
        <v>17</v>
      </c>
      <c r="O19" s="25">
        <f t="shared" si="7"/>
        <v>476</v>
      </c>
      <c r="S19" s="29" t="s">
        <v>37</v>
      </c>
    </row>
    <row r="20" spans="2:28" ht="13.8">
      <c r="B20" s="17" t="s">
        <v>21</v>
      </c>
      <c r="C20" s="18" t="s">
        <v>38</v>
      </c>
      <c r="D20" s="24">
        <f t="shared" si="7"/>
        <v>2</v>
      </c>
      <c r="E20" s="25">
        <f t="shared" si="7"/>
        <v>3</v>
      </c>
      <c r="F20" s="25">
        <f t="shared" si="7"/>
        <v>4</v>
      </c>
      <c r="G20" s="25">
        <f t="shared" si="7"/>
        <v>6</v>
      </c>
      <c r="H20" s="25">
        <f t="shared" si="7"/>
        <v>7</v>
      </c>
      <c r="I20" s="25">
        <f t="shared" si="7"/>
        <v>8</v>
      </c>
      <c r="J20" s="25">
        <f t="shared" si="7"/>
        <v>9</v>
      </c>
      <c r="K20" s="25">
        <f t="shared" si="7"/>
        <v>10</v>
      </c>
      <c r="L20" s="25">
        <f t="shared" si="7"/>
        <v>11</v>
      </c>
      <c r="M20" s="25">
        <f t="shared" si="7"/>
        <v>12</v>
      </c>
      <c r="N20" s="25">
        <f t="shared" si="7"/>
        <v>13</v>
      </c>
      <c r="O20" s="25">
        <f t="shared" si="7"/>
        <v>374</v>
      </c>
      <c r="S20" s="29"/>
    </row>
    <row r="21" spans="2:28" ht="13.8">
      <c r="B21" s="17" t="s">
        <v>23</v>
      </c>
      <c r="C21" s="18" t="s">
        <v>24</v>
      </c>
      <c r="D21" s="24">
        <f t="shared" si="7"/>
        <v>1</v>
      </c>
      <c r="E21" s="25">
        <f t="shared" si="7"/>
        <v>2</v>
      </c>
      <c r="F21" s="25">
        <f t="shared" si="7"/>
        <v>3</v>
      </c>
      <c r="G21" s="25">
        <f t="shared" si="7"/>
        <v>4</v>
      </c>
      <c r="H21" s="25">
        <f t="shared" si="7"/>
        <v>4</v>
      </c>
      <c r="I21" s="25">
        <f t="shared" si="7"/>
        <v>5</v>
      </c>
      <c r="J21" s="25">
        <f t="shared" si="7"/>
        <v>6</v>
      </c>
      <c r="K21" s="25">
        <f t="shared" si="7"/>
        <v>6</v>
      </c>
      <c r="L21" s="25">
        <f t="shared" si="7"/>
        <v>7</v>
      </c>
      <c r="M21" s="25">
        <f t="shared" si="7"/>
        <v>8</v>
      </c>
      <c r="N21" s="25">
        <f t="shared" si="7"/>
        <v>8</v>
      </c>
      <c r="O21" s="25">
        <f t="shared" si="7"/>
        <v>238</v>
      </c>
      <c r="S21" s="29" t="s">
        <v>39</v>
      </c>
      <c r="U21" s="4"/>
    </row>
    <row r="22" spans="2:28" ht="13.8">
      <c r="B22" s="17" t="s">
        <v>25</v>
      </c>
      <c r="C22" s="18" t="s">
        <v>26</v>
      </c>
      <c r="D22" s="24">
        <f t="shared" si="7"/>
        <v>1</v>
      </c>
      <c r="E22" s="25">
        <f t="shared" si="7"/>
        <v>1</v>
      </c>
      <c r="F22" s="25">
        <f t="shared" si="7"/>
        <v>1</v>
      </c>
      <c r="G22" s="25">
        <f t="shared" si="7"/>
        <v>2</v>
      </c>
      <c r="H22" s="25">
        <f t="shared" si="7"/>
        <v>2</v>
      </c>
      <c r="I22" s="25">
        <f t="shared" si="7"/>
        <v>2</v>
      </c>
      <c r="J22" s="25">
        <f t="shared" si="7"/>
        <v>2</v>
      </c>
      <c r="K22" s="25">
        <f t="shared" si="7"/>
        <v>3</v>
      </c>
      <c r="L22" s="25">
        <f t="shared" si="7"/>
        <v>3</v>
      </c>
      <c r="M22" s="25">
        <f t="shared" si="7"/>
        <v>3</v>
      </c>
      <c r="N22" s="25">
        <f t="shared" si="7"/>
        <v>4</v>
      </c>
      <c r="O22" s="25">
        <f t="shared" si="7"/>
        <v>102</v>
      </c>
      <c r="S22" s="29"/>
    </row>
    <row r="23" spans="2:28" s="15" customFormat="1" ht="24.9" thickBot="1">
      <c r="B23" s="10" t="s">
        <v>6</v>
      </c>
      <c r="C23" s="10" t="s">
        <v>40</v>
      </c>
      <c r="D23" s="13">
        <v>90</v>
      </c>
      <c r="E23" s="13">
        <v>60</v>
      </c>
      <c r="F23" s="13">
        <v>80</v>
      </c>
      <c r="G23" s="13">
        <v>100</v>
      </c>
      <c r="H23" s="13">
        <v>120</v>
      </c>
      <c r="I23" s="13">
        <v>140</v>
      </c>
      <c r="J23" s="13">
        <v>160</v>
      </c>
      <c r="K23" s="13">
        <v>180</v>
      </c>
      <c r="L23" s="13">
        <v>200</v>
      </c>
      <c r="M23" s="13">
        <v>220</v>
      </c>
      <c r="N23" s="13">
        <v>240</v>
      </c>
      <c r="O23" s="14">
        <v>260</v>
      </c>
      <c r="S23" s="30" t="s">
        <v>41</v>
      </c>
    </row>
    <row r="24" spans="2:28" ht="13.8">
      <c r="B24" s="17" t="s">
        <v>9</v>
      </c>
      <c r="C24" s="18" t="s">
        <v>42</v>
      </c>
      <c r="D24" s="28">
        <f t="shared" ref="D24:O32" si="8">ROUND(((LEFT($C24,3)*D$3)/1000),0)</f>
        <v>6</v>
      </c>
      <c r="E24" s="20">
        <f t="shared" si="8"/>
        <v>8</v>
      </c>
      <c r="F24" s="20">
        <f t="shared" si="8"/>
        <v>11</v>
      </c>
      <c r="G24" s="20">
        <f t="shared" si="8"/>
        <v>14</v>
      </c>
      <c r="H24" s="20">
        <f t="shared" si="8"/>
        <v>17</v>
      </c>
      <c r="I24" s="20">
        <f t="shared" si="8"/>
        <v>20</v>
      </c>
      <c r="J24" s="20">
        <f t="shared" si="8"/>
        <v>22</v>
      </c>
      <c r="K24" s="20">
        <f t="shared" si="8"/>
        <v>25</v>
      </c>
      <c r="L24" s="20">
        <f t="shared" si="8"/>
        <v>28</v>
      </c>
      <c r="M24" s="20">
        <f t="shared" si="8"/>
        <v>31</v>
      </c>
      <c r="N24" s="20">
        <f t="shared" si="8"/>
        <v>34</v>
      </c>
      <c r="O24" s="20">
        <f t="shared" si="8"/>
        <v>952</v>
      </c>
      <c r="S24" s="29"/>
    </row>
    <row r="25" spans="2:28" ht="13.8">
      <c r="B25" s="17" t="s">
        <v>11</v>
      </c>
      <c r="C25" s="18" t="s">
        <v>30</v>
      </c>
      <c r="D25" s="24">
        <f t="shared" si="8"/>
        <v>5</v>
      </c>
      <c r="E25" s="25">
        <f t="shared" si="8"/>
        <v>8</v>
      </c>
      <c r="F25" s="25">
        <f t="shared" si="8"/>
        <v>10</v>
      </c>
      <c r="G25" s="25">
        <f t="shared" si="8"/>
        <v>13</v>
      </c>
      <c r="H25" s="25">
        <f t="shared" si="8"/>
        <v>16</v>
      </c>
      <c r="I25" s="25">
        <f t="shared" si="8"/>
        <v>18</v>
      </c>
      <c r="J25" s="25">
        <f t="shared" si="8"/>
        <v>21</v>
      </c>
      <c r="K25" s="25">
        <f t="shared" si="8"/>
        <v>23</v>
      </c>
      <c r="L25" s="25">
        <f t="shared" si="8"/>
        <v>26</v>
      </c>
      <c r="M25" s="25">
        <f t="shared" si="8"/>
        <v>29</v>
      </c>
      <c r="N25" s="25">
        <f t="shared" si="8"/>
        <v>31</v>
      </c>
      <c r="O25" s="25">
        <f t="shared" si="8"/>
        <v>884</v>
      </c>
      <c r="S25" s="29" t="s">
        <v>43</v>
      </c>
    </row>
    <row r="26" spans="2:28" ht="13.8">
      <c r="B26" s="17" t="s">
        <v>13</v>
      </c>
      <c r="C26" s="18" t="s">
        <v>44</v>
      </c>
      <c r="D26" s="24">
        <f t="shared" si="8"/>
        <v>5</v>
      </c>
      <c r="E26" s="25">
        <f t="shared" si="8"/>
        <v>7</v>
      </c>
      <c r="F26" s="25">
        <f t="shared" si="8"/>
        <v>10</v>
      </c>
      <c r="G26" s="25">
        <f t="shared" si="8"/>
        <v>12</v>
      </c>
      <c r="H26" s="25">
        <f t="shared" si="8"/>
        <v>14</v>
      </c>
      <c r="I26" s="25">
        <f t="shared" si="8"/>
        <v>17</v>
      </c>
      <c r="J26" s="25">
        <f t="shared" si="8"/>
        <v>19</v>
      </c>
      <c r="K26" s="25">
        <f t="shared" si="8"/>
        <v>22</v>
      </c>
      <c r="L26" s="25">
        <f t="shared" si="8"/>
        <v>24</v>
      </c>
      <c r="M26" s="25">
        <f t="shared" si="8"/>
        <v>26</v>
      </c>
      <c r="N26" s="25">
        <f t="shared" si="8"/>
        <v>29</v>
      </c>
      <c r="O26" s="25">
        <f t="shared" si="8"/>
        <v>816</v>
      </c>
      <c r="S26" s="29" t="s">
        <v>45</v>
      </c>
    </row>
    <row r="27" spans="2:28" ht="13.8">
      <c r="B27" s="17" t="s">
        <v>15</v>
      </c>
      <c r="C27" s="18" t="s">
        <v>46</v>
      </c>
      <c r="D27" s="24">
        <f t="shared" si="8"/>
        <v>4</v>
      </c>
      <c r="E27" s="25">
        <f t="shared" si="8"/>
        <v>6</v>
      </c>
      <c r="F27" s="25">
        <f t="shared" si="8"/>
        <v>8</v>
      </c>
      <c r="G27" s="25">
        <f t="shared" si="8"/>
        <v>10</v>
      </c>
      <c r="H27" s="25">
        <f t="shared" si="8"/>
        <v>12</v>
      </c>
      <c r="I27" s="25">
        <f t="shared" si="8"/>
        <v>14</v>
      </c>
      <c r="J27" s="25">
        <f t="shared" si="8"/>
        <v>16</v>
      </c>
      <c r="K27" s="25">
        <f t="shared" si="8"/>
        <v>18</v>
      </c>
      <c r="L27" s="25">
        <f t="shared" si="8"/>
        <v>20</v>
      </c>
      <c r="M27" s="25">
        <f t="shared" si="8"/>
        <v>22</v>
      </c>
      <c r="N27" s="25">
        <f t="shared" si="8"/>
        <v>24</v>
      </c>
      <c r="O27" s="25">
        <f t="shared" si="8"/>
        <v>680</v>
      </c>
      <c r="S27" s="29" t="s">
        <v>47</v>
      </c>
    </row>
    <row r="28" spans="2:28" ht="13.8">
      <c r="B28" s="17" t="s">
        <v>17</v>
      </c>
      <c r="C28" s="18" t="s">
        <v>48</v>
      </c>
      <c r="D28" s="24">
        <f t="shared" si="8"/>
        <v>3</v>
      </c>
      <c r="E28" s="25">
        <f t="shared" si="8"/>
        <v>5</v>
      </c>
      <c r="F28" s="25">
        <f t="shared" si="8"/>
        <v>7</v>
      </c>
      <c r="G28" s="25">
        <f t="shared" si="8"/>
        <v>9</v>
      </c>
      <c r="H28" s="25">
        <f t="shared" si="8"/>
        <v>10</v>
      </c>
      <c r="I28" s="25">
        <f t="shared" si="8"/>
        <v>12</v>
      </c>
      <c r="J28" s="25">
        <f t="shared" si="8"/>
        <v>14</v>
      </c>
      <c r="K28" s="25">
        <f t="shared" si="8"/>
        <v>15</v>
      </c>
      <c r="L28" s="25">
        <f t="shared" si="8"/>
        <v>17</v>
      </c>
      <c r="M28" s="25">
        <f t="shared" si="8"/>
        <v>19</v>
      </c>
      <c r="N28" s="25">
        <f t="shared" si="8"/>
        <v>20</v>
      </c>
      <c r="O28" s="25">
        <f t="shared" si="8"/>
        <v>578</v>
      </c>
      <c r="S28" s="29" t="s">
        <v>49</v>
      </c>
      <c r="AB28" s="29" t="s">
        <v>50</v>
      </c>
    </row>
    <row r="29" spans="2:28" ht="13.8">
      <c r="B29" s="17" t="s">
        <v>19</v>
      </c>
      <c r="C29" s="18" t="s">
        <v>51</v>
      </c>
      <c r="D29" s="24">
        <f t="shared" si="8"/>
        <v>3</v>
      </c>
      <c r="E29" s="25">
        <f t="shared" si="8"/>
        <v>4</v>
      </c>
      <c r="F29" s="25">
        <f t="shared" si="8"/>
        <v>5</v>
      </c>
      <c r="G29" s="25">
        <f t="shared" si="8"/>
        <v>7</v>
      </c>
      <c r="H29" s="25">
        <f t="shared" si="8"/>
        <v>8</v>
      </c>
      <c r="I29" s="25">
        <f t="shared" si="8"/>
        <v>9</v>
      </c>
      <c r="J29" s="25">
        <f t="shared" si="8"/>
        <v>10</v>
      </c>
      <c r="K29" s="25">
        <f t="shared" si="8"/>
        <v>12</v>
      </c>
      <c r="L29" s="25">
        <f t="shared" si="8"/>
        <v>13</v>
      </c>
      <c r="M29" s="25">
        <f t="shared" si="8"/>
        <v>14</v>
      </c>
      <c r="N29" s="25">
        <f t="shared" si="8"/>
        <v>16</v>
      </c>
      <c r="O29" s="25">
        <f t="shared" si="8"/>
        <v>442</v>
      </c>
      <c r="S29" s="29" t="s">
        <v>52</v>
      </c>
    </row>
    <row r="30" spans="2:28" ht="13.8">
      <c r="B30" s="17" t="s">
        <v>21</v>
      </c>
      <c r="C30" s="18" t="s">
        <v>53</v>
      </c>
      <c r="D30" s="24">
        <f t="shared" si="8"/>
        <v>2</v>
      </c>
      <c r="E30" s="25">
        <f t="shared" si="8"/>
        <v>3</v>
      </c>
      <c r="F30" s="25">
        <f t="shared" si="8"/>
        <v>4</v>
      </c>
      <c r="G30" s="25">
        <f t="shared" si="8"/>
        <v>5</v>
      </c>
      <c r="H30" s="25">
        <f t="shared" si="8"/>
        <v>6</v>
      </c>
      <c r="I30" s="25">
        <f t="shared" si="8"/>
        <v>7</v>
      </c>
      <c r="J30" s="25">
        <f t="shared" si="8"/>
        <v>8</v>
      </c>
      <c r="K30" s="25">
        <f t="shared" si="8"/>
        <v>9</v>
      </c>
      <c r="L30" s="25">
        <f t="shared" si="8"/>
        <v>10</v>
      </c>
      <c r="M30" s="25">
        <f t="shared" si="8"/>
        <v>11</v>
      </c>
      <c r="N30" s="25">
        <f t="shared" si="8"/>
        <v>12</v>
      </c>
      <c r="O30" s="25">
        <f t="shared" si="8"/>
        <v>340</v>
      </c>
      <c r="S30" s="29" t="s">
        <v>54</v>
      </c>
    </row>
    <row r="31" spans="2:28" ht="13.8">
      <c r="B31" s="17" t="s">
        <v>23</v>
      </c>
      <c r="C31" s="18" t="s">
        <v>24</v>
      </c>
      <c r="D31" s="24">
        <f t="shared" si="8"/>
        <v>1</v>
      </c>
      <c r="E31" s="25">
        <f t="shared" si="8"/>
        <v>2</v>
      </c>
      <c r="F31" s="25">
        <f t="shared" si="8"/>
        <v>3</v>
      </c>
      <c r="G31" s="25">
        <f t="shared" si="8"/>
        <v>4</v>
      </c>
      <c r="H31" s="25">
        <f t="shared" si="8"/>
        <v>4</v>
      </c>
      <c r="I31" s="25">
        <f t="shared" si="8"/>
        <v>5</v>
      </c>
      <c r="J31" s="25">
        <f t="shared" si="8"/>
        <v>6</v>
      </c>
      <c r="K31" s="25">
        <f t="shared" si="8"/>
        <v>6</v>
      </c>
      <c r="L31" s="25">
        <f t="shared" si="8"/>
        <v>7</v>
      </c>
      <c r="M31" s="25">
        <f t="shared" si="8"/>
        <v>8</v>
      </c>
      <c r="N31" s="25">
        <f t="shared" si="8"/>
        <v>8</v>
      </c>
      <c r="O31" s="25">
        <f t="shared" si="8"/>
        <v>238</v>
      </c>
    </row>
    <row r="32" spans="2:28" ht="13.8">
      <c r="B32" s="17" t="s">
        <v>25</v>
      </c>
      <c r="C32" s="18" t="s">
        <v>26</v>
      </c>
      <c r="D32" s="24">
        <f t="shared" si="8"/>
        <v>1</v>
      </c>
      <c r="E32" s="25">
        <f t="shared" si="8"/>
        <v>1</v>
      </c>
      <c r="F32" s="25">
        <f t="shared" si="8"/>
        <v>1</v>
      </c>
      <c r="G32" s="25">
        <f t="shared" si="8"/>
        <v>2</v>
      </c>
      <c r="H32" s="25">
        <f t="shared" si="8"/>
        <v>2</v>
      </c>
      <c r="I32" s="25">
        <f t="shared" si="8"/>
        <v>2</v>
      </c>
      <c r="J32" s="25">
        <f t="shared" si="8"/>
        <v>2</v>
      </c>
      <c r="K32" s="25">
        <f t="shared" si="8"/>
        <v>3</v>
      </c>
      <c r="L32" s="25">
        <f t="shared" si="8"/>
        <v>3</v>
      </c>
      <c r="M32" s="25">
        <f t="shared" si="8"/>
        <v>3</v>
      </c>
      <c r="N32" s="25">
        <f t="shared" si="8"/>
        <v>4</v>
      </c>
      <c r="O32" s="25">
        <f t="shared" si="8"/>
        <v>102</v>
      </c>
    </row>
    <row r="33" spans="2:15" s="15" customFormat="1" ht="24.9" thickBot="1">
      <c r="B33" s="10" t="s">
        <v>6</v>
      </c>
      <c r="C33" s="10" t="s">
        <v>55</v>
      </c>
      <c r="D33" s="13">
        <v>240</v>
      </c>
      <c r="E33" s="13">
        <v>320</v>
      </c>
      <c r="F33" s="13">
        <v>400</v>
      </c>
      <c r="G33" s="13">
        <v>480</v>
      </c>
      <c r="H33" s="13">
        <v>560</v>
      </c>
      <c r="I33" s="13">
        <v>640</v>
      </c>
      <c r="J33" s="13">
        <v>720</v>
      </c>
      <c r="K33" s="13">
        <v>800</v>
      </c>
      <c r="L33" s="13">
        <v>880</v>
      </c>
      <c r="M33" s="13">
        <v>960</v>
      </c>
      <c r="N33" s="13">
        <v>1040</v>
      </c>
      <c r="O33" s="14">
        <v>1800</v>
      </c>
    </row>
    <row r="34" spans="2:15" ht="13.8">
      <c r="B34" s="17" t="s">
        <v>9</v>
      </c>
      <c r="C34" s="18" t="s">
        <v>30</v>
      </c>
      <c r="D34" s="28">
        <f t="shared" ref="D34:O42" si="9">ROUND(((LEFT($C34,3)*D$33)/1000),0)</f>
        <v>31</v>
      </c>
      <c r="E34" s="20">
        <f t="shared" si="9"/>
        <v>42</v>
      </c>
      <c r="F34" s="20">
        <f t="shared" si="9"/>
        <v>52</v>
      </c>
      <c r="G34" s="20">
        <f t="shared" si="9"/>
        <v>62</v>
      </c>
      <c r="H34" s="20">
        <f t="shared" si="9"/>
        <v>73</v>
      </c>
      <c r="I34" s="20">
        <f t="shared" si="9"/>
        <v>83</v>
      </c>
      <c r="J34" s="20">
        <f t="shared" si="9"/>
        <v>94</v>
      </c>
      <c r="K34" s="20">
        <f t="shared" si="9"/>
        <v>104</v>
      </c>
      <c r="L34" s="20">
        <f t="shared" si="9"/>
        <v>114</v>
      </c>
      <c r="M34" s="20">
        <f t="shared" si="9"/>
        <v>125</v>
      </c>
      <c r="N34" s="20">
        <f t="shared" si="9"/>
        <v>135</v>
      </c>
      <c r="O34" s="20">
        <f t="shared" si="9"/>
        <v>234</v>
      </c>
    </row>
    <row r="35" spans="2:15" ht="13.8">
      <c r="B35" s="17" t="s">
        <v>11</v>
      </c>
      <c r="C35" s="18" t="s">
        <v>44</v>
      </c>
      <c r="D35" s="24">
        <f t="shared" si="9"/>
        <v>29</v>
      </c>
      <c r="E35" s="25">
        <f t="shared" si="9"/>
        <v>38</v>
      </c>
      <c r="F35" s="25">
        <f t="shared" si="9"/>
        <v>48</v>
      </c>
      <c r="G35" s="25">
        <f t="shared" si="9"/>
        <v>58</v>
      </c>
      <c r="H35" s="25">
        <f t="shared" si="9"/>
        <v>67</v>
      </c>
      <c r="I35" s="25">
        <f t="shared" si="9"/>
        <v>77</v>
      </c>
      <c r="J35" s="25">
        <f t="shared" si="9"/>
        <v>86</v>
      </c>
      <c r="K35" s="25">
        <f t="shared" si="9"/>
        <v>96</v>
      </c>
      <c r="L35" s="25">
        <f t="shared" si="9"/>
        <v>106</v>
      </c>
      <c r="M35" s="25">
        <f t="shared" si="9"/>
        <v>115</v>
      </c>
      <c r="N35" s="25">
        <f t="shared" si="9"/>
        <v>125</v>
      </c>
      <c r="O35" s="25">
        <f t="shared" si="9"/>
        <v>216</v>
      </c>
    </row>
    <row r="36" spans="2:15" ht="13.8">
      <c r="B36" s="17" t="s">
        <v>13</v>
      </c>
      <c r="C36" s="18" t="s">
        <v>32</v>
      </c>
      <c r="D36" s="24">
        <f t="shared" si="9"/>
        <v>26</v>
      </c>
      <c r="E36" s="25">
        <f t="shared" si="9"/>
        <v>35</v>
      </c>
      <c r="F36" s="25">
        <f t="shared" si="9"/>
        <v>44</v>
      </c>
      <c r="G36" s="25">
        <f t="shared" si="9"/>
        <v>53</v>
      </c>
      <c r="H36" s="25">
        <f t="shared" si="9"/>
        <v>62</v>
      </c>
      <c r="I36" s="25">
        <f t="shared" si="9"/>
        <v>70</v>
      </c>
      <c r="J36" s="25">
        <f t="shared" si="9"/>
        <v>79</v>
      </c>
      <c r="K36" s="25">
        <f t="shared" si="9"/>
        <v>88</v>
      </c>
      <c r="L36" s="25">
        <f t="shared" si="9"/>
        <v>97</v>
      </c>
      <c r="M36" s="25">
        <f t="shared" si="9"/>
        <v>106</v>
      </c>
      <c r="N36" s="25">
        <f t="shared" si="9"/>
        <v>114</v>
      </c>
      <c r="O36" s="25">
        <f t="shared" si="9"/>
        <v>198</v>
      </c>
    </row>
    <row r="37" spans="2:15" ht="13.8">
      <c r="B37" s="17" t="s">
        <v>15</v>
      </c>
      <c r="C37" s="18" t="s">
        <v>20</v>
      </c>
      <c r="D37" s="24">
        <f t="shared" si="9"/>
        <v>18</v>
      </c>
      <c r="E37" s="25">
        <f t="shared" si="9"/>
        <v>24</v>
      </c>
      <c r="F37" s="25">
        <f t="shared" si="9"/>
        <v>30</v>
      </c>
      <c r="G37" s="25">
        <f t="shared" si="9"/>
        <v>36</v>
      </c>
      <c r="H37" s="25">
        <f t="shared" si="9"/>
        <v>42</v>
      </c>
      <c r="I37" s="25">
        <f t="shared" si="9"/>
        <v>48</v>
      </c>
      <c r="J37" s="25">
        <f t="shared" si="9"/>
        <v>54</v>
      </c>
      <c r="K37" s="25">
        <f t="shared" si="9"/>
        <v>60</v>
      </c>
      <c r="L37" s="25">
        <f t="shared" si="9"/>
        <v>66</v>
      </c>
      <c r="M37" s="25">
        <f t="shared" si="9"/>
        <v>72</v>
      </c>
      <c r="N37" s="25">
        <f t="shared" si="9"/>
        <v>78</v>
      </c>
      <c r="O37" s="25">
        <f t="shared" si="9"/>
        <v>135</v>
      </c>
    </row>
    <row r="38" spans="2:15" ht="13.8">
      <c r="B38" s="17" t="s">
        <v>17</v>
      </c>
      <c r="C38" s="18" t="s">
        <v>51</v>
      </c>
      <c r="D38" s="24">
        <f t="shared" si="9"/>
        <v>16</v>
      </c>
      <c r="E38" s="25">
        <f t="shared" si="9"/>
        <v>21</v>
      </c>
      <c r="F38" s="25">
        <f t="shared" si="9"/>
        <v>26</v>
      </c>
      <c r="G38" s="25">
        <f t="shared" si="9"/>
        <v>31</v>
      </c>
      <c r="H38" s="25">
        <f t="shared" si="9"/>
        <v>36</v>
      </c>
      <c r="I38" s="25">
        <f t="shared" si="9"/>
        <v>42</v>
      </c>
      <c r="J38" s="25">
        <f t="shared" si="9"/>
        <v>47</v>
      </c>
      <c r="K38" s="25">
        <f t="shared" si="9"/>
        <v>52</v>
      </c>
      <c r="L38" s="25">
        <f t="shared" si="9"/>
        <v>57</v>
      </c>
      <c r="M38" s="25">
        <f t="shared" si="9"/>
        <v>62</v>
      </c>
      <c r="N38" s="25">
        <f t="shared" si="9"/>
        <v>68</v>
      </c>
      <c r="O38" s="25">
        <f t="shared" si="9"/>
        <v>117</v>
      </c>
    </row>
    <row r="39" spans="2:15" ht="13.8">
      <c r="B39" s="17" t="s">
        <v>19</v>
      </c>
      <c r="C39" s="18" t="s">
        <v>22</v>
      </c>
      <c r="D39" s="24">
        <f t="shared" si="9"/>
        <v>14</v>
      </c>
      <c r="E39" s="25">
        <f t="shared" si="9"/>
        <v>19</v>
      </c>
      <c r="F39" s="25">
        <f t="shared" si="9"/>
        <v>24</v>
      </c>
      <c r="G39" s="25">
        <f t="shared" si="9"/>
        <v>29</v>
      </c>
      <c r="H39" s="25">
        <f t="shared" si="9"/>
        <v>34</v>
      </c>
      <c r="I39" s="25">
        <f t="shared" si="9"/>
        <v>38</v>
      </c>
      <c r="J39" s="25">
        <f t="shared" si="9"/>
        <v>43</v>
      </c>
      <c r="K39" s="25">
        <f t="shared" si="9"/>
        <v>48</v>
      </c>
      <c r="L39" s="25">
        <f t="shared" si="9"/>
        <v>53</v>
      </c>
      <c r="M39" s="25">
        <f t="shared" si="9"/>
        <v>58</v>
      </c>
      <c r="N39" s="25">
        <f t="shared" si="9"/>
        <v>62</v>
      </c>
      <c r="O39" s="25">
        <f t="shared" si="9"/>
        <v>108</v>
      </c>
    </row>
    <row r="40" spans="2:15" ht="13.8">
      <c r="B40" s="17" t="s">
        <v>21</v>
      </c>
      <c r="C40" s="18" t="s">
        <v>56</v>
      </c>
      <c r="D40" s="24">
        <f t="shared" si="9"/>
        <v>11</v>
      </c>
      <c r="E40" s="25">
        <f t="shared" si="9"/>
        <v>14</v>
      </c>
      <c r="F40" s="25">
        <f t="shared" si="9"/>
        <v>18</v>
      </c>
      <c r="G40" s="25">
        <f t="shared" si="9"/>
        <v>22</v>
      </c>
      <c r="H40" s="25">
        <f t="shared" si="9"/>
        <v>25</v>
      </c>
      <c r="I40" s="25">
        <f t="shared" si="9"/>
        <v>29</v>
      </c>
      <c r="J40" s="25">
        <f t="shared" si="9"/>
        <v>32</v>
      </c>
      <c r="K40" s="25">
        <f t="shared" si="9"/>
        <v>36</v>
      </c>
      <c r="L40" s="25">
        <f t="shared" si="9"/>
        <v>40</v>
      </c>
      <c r="M40" s="25">
        <f t="shared" si="9"/>
        <v>43</v>
      </c>
      <c r="N40" s="25">
        <f t="shared" si="9"/>
        <v>47</v>
      </c>
      <c r="O40" s="25">
        <f t="shared" si="9"/>
        <v>81</v>
      </c>
    </row>
    <row r="41" spans="2:15" ht="13.8">
      <c r="B41" s="17" t="s">
        <v>23</v>
      </c>
      <c r="C41" s="18" t="s">
        <v>24</v>
      </c>
      <c r="D41" s="24">
        <f t="shared" si="9"/>
        <v>8</v>
      </c>
      <c r="E41" s="25">
        <f t="shared" si="9"/>
        <v>11</v>
      </c>
      <c r="F41" s="25">
        <f t="shared" si="9"/>
        <v>14</v>
      </c>
      <c r="G41" s="25">
        <f t="shared" si="9"/>
        <v>17</v>
      </c>
      <c r="H41" s="25">
        <f t="shared" si="9"/>
        <v>20</v>
      </c>
      <c r="I41" s="25">
        <f t="shared" si="9"/>
        <v>22</v>
      </c>
      <c r="J41" s="25">
        <f t="shared" si="9"/>
        <v>25</v>
      </c>
      <c r="K41" s="25">
        <f t="shared" si="9"/>
        <v>28</v>
      </c>
      <c r="L41" s="25">
        <f t="shared" si="9"/>
        <v>31</v>
      </c>
      <c r="M41" s="25">
        <f t="shared" si="9"/>
        <v>34</v>
      </c>
      <c r="N41" s="25">
        <f t="shared" si="9"/>
        <v>36</v>
      </c>
      <c r="O41" s="25">
        <f t="shared" si="9"/>
        <v>63</v>
      </c>
    </row>
    <row r="42" spans="2:15" ht="13.8">
      <c r="B42" s="17" t="s">
        <v>25</v>
      </c>
      <c r="C42" s="18" t="s">
        <v>26</v>
      </c>
      <c r="D42" s="24">
        <f t="shared" si="9"/>
        <v>4</v>
      </c>
      <c r="E42" s="25">
        <f t="shared" si="9"/>
        <v>5</v>
      </c>
      <c r="F42" s="25">
        <f t="shared" si="9"/>
        <v>6</v>
      </c>
      <c r="G42" s="25">
        <f t="shared" si="9"/>
        <v>7</v>
      </c>
      <c r="H42" s="25">
        <f t="shared" si="9"/>
        <v>8</v>
      </c>
      <c r="I42" s="25">
        <f t="shared" si="9"/>
        <v>10</v>
      </c>
      <c r="J42" s="25">
        <f t="shared" si="9"/>
        <v>11</v>
      </c>
      <c r="K42" s="25">
        <f t="shared" si="9"/>
        <v>12</v>
      </c>
      <c r="L42" s="25">
        <f t="shared" si="9"/>
        <v>13</v>
      </c>
      <c r="M42" s="25">
        <f t="shared" si="9"/>
        <v>14</v>
      </c>
      <c r="N42" s="25">
        <f t="shared" si="9"/>
        <v>16</v>
      </c>
      <c r="O42" s="25">
        <f t="shared" si="9"/>
        <v>27</v>
      </c>
    </row>
    <row r="43" spans="2:15">
      <c r="B43" s="31"/>
      <c r="C43" s="31"/>
    </row>
    <row r="44" spans="2:15" ht="15">
      <c r="B44" s="32" t="s">
        <v>57</v>
      </c>
      <c r="C44" s="33"/>
      <c r="D44" s="33"/>
      <c r="E44" s="33"/>
      <c r="F44" s="34" t="s">
        <v>58</v>
      </c>
      <c r="G44" s="35"/>
      <c r="H44" s="35"/>
      <c r="I44" s="36" t="s">
        <v>59</v>
      </c>
      <c r="J44" s="37"/>
      <c r="K44" s="37"/>
      <c r="L44" s="38" t="s">
        <v>60</v>
      </c>
      <c r="M44" s="35" t="s">
        <v>61</v>
      </c>
      <c r="N44" s="35" t="s">
        <v>62</v>
      </c>
      <c r="O44" s="39" t="s">
        <v>63</v>
      </c>
    </row>
    <row r="45" spans="2:15">
      <c r="B45" s="40" t="s">
        <v>64</v>
      </c>
      <c r="F45" s="41" t="s">
        <v>65</v>
      </c>
      <c r="G45" s="42"/>
      <c r="H45" s="42"/>
      <c r="I45" s="43" t="str">
        <f>CONCATENATE(D47,"€ * 800 kWh = ", D47*800," €")</f>
        <v>0,06€ * 800 kWh = 48 €</v>
      </c>
      <c r="J45" s="44"/>
      <c r="K45" s="44"/>
      <c r="L45" s="45" t="str">
        <f>CONCATENATE(D47*800*2," €")</f>
        <v>96 €</v>
      </c>
      <c r="M45" s="46" t="str">
        <f>CONCATENATE(D47*800*3," €")</f>
        <v>144 €</v>
      </c>
      <c r="N45" s="46" t="str">
        <f>CONCATENATE(D47*800*4," €")</f>
        <v>192 €</v>
      </c>
      <c r="O45" s="47" t="str">
        <f>CONCATENATE(D47*800*5," €")</f>
        <v>240 €</v>
      </c>
    </row>
    <row r="46" spans="2:15">
      <c r="B46" s="48" t="str">
        <f>CONCATENATE(D47,"€ * 2400 kWh = ", D47*2400," €")</f>
        <v>0,06€ * 2400 kWh = 144 €</v>
      </c>
      <c r="F46" s="41" t="s">
        <v>66</v>
      </c>
      <c r="G46" s="42"/>
      <c r="H46" s="42"/>
      <c r="I46" s="43" t="str">
        <f>CONCATENATE(D47,"€ * 1500 kWh = ", D47*1500," €")</f>
        <v>0,06€ * 1500 kWh = 90 €</v>
      </c>
      <c r="J46" s="49"/>
      <c r="K46" s="49"/>
      <c r="L46" s="45" t="str">
        <f>CONCATENATE(D47*1500*2," €")</f>
        <v>180 €</v>
      </c>
      <c r="M46" s="46" t="str">
        <f>CONCATENATE(D47*1500*3," €")</f>
        <v>270 €</v>
      </c>
      <c r="N46" s="46" t="str">
        <f>CONCATENATE(D47*1500*4," €")</f>
        <v>360 €</v>
      </c>
      <c r="O46" s="47" t="str">
        <f>CONCATENATE(D47*1500*5," €")</f>
        <v>450 €</v>
      </c>
    </row>
    <row r="47" spans="2:15">
      <c r="B47" s="50"/>
      <c r="C47" s="51" t="s">
        <v>67</v>
      </c>
      <c r="D47" s="52">
        <v>0.06</v>
      </c>
      <c r="E47" s="53" t="s">
        <v>68</v>
      </c>
      <c r="F47" s="54" t="s">
        <v>69</v>
      </c>
      <c r="G47" s="55"/>
      <c r="H47" s="55"/>
      <c r="I47" s="56" t="str">
        <f>CONCATENATE(D47,"€ * 1300 kWh = ", D47*1300," €")</f>
        <v>0,06€ * 1300 kWh = 78 €</v>
      </c>
      <c r="J47" s="57"/>
      <c r="K47" s="57"/>
      <c r="L47" s="58" t="str">
        <f>CONCATENATE(D47*1300*2," €")</f>
        <v>156 €</v>
      </c>
      <c r="M47" s="59" t="str">
        <f>CONCATENATE(D47*1300*3," €")</f>
        <v>234 €</v>
      </c>
      <c r="N47" s="59" t="str">
        <f>CONCATENATE(D47*1300*4," €")</f>
        <v>312 €</v>
      </c>
      <c r="O47" s="60" t="str">
        <f>CONCATENATE(D47*1300*5," €")</f>
        <v>390 €</v>
      </c>
    </row>
    <row r="49" spans="3:19" ht="26.25" customHeight="1">
      <c r="D49" s="61" t="s">
        <v>70</v>
      </c>
      <c r="E49" s="62"/>
      <c r="F49" s="62"/>
      <c r="G49" s="62"/>
      <c r="H49" s="62"/>
      <c r="I49" s="62"/>
      <c r="J49" s="62"/>
      <c r="K49" s="62"/>
      <c r="L49" s="62"/>
      <c r="M49" s="62"/>
      <c r="N49" s="62"/>
      <c r="O49" s="62"/>
      <c r="P49" s="62"/>
      <c r="Q49" s="63"/>
    </row>
    <row r="50" spans="3:19" ht="13.5" customHeight="1">
      <c r="C50" s="64"/>
      <c r="D50" s="65"/>
      <c r="E50" s="65"/>
      <c r="F50" s="65"/>
      <c r="G50" s="65"/>
      <c r="H50" s="65"/>
      <c r="I50" s="65"/>
      <c r="J50" s="65"/>
      <c r="K50" s="66"/>
      <c r="L50" s="67"/>
      <c r="M50" s="68" t="s">
        <v>71</v>
      </c>
      <c r="N50" s="68"/>
      <c r="O50" s="68"/>
      <c r="P50" s="68"/>
      <c r="Q50" s="69"/>
    </row>
    <row r="51" spans="3:19" ht="13.5" customHeight="1">
      <c r="C51" s="50"/>
      <c r="D51" s="70"/>
      <c r="E51" s="70"/>
      <c r="F51" s="70"/>
      <c r="G51" s="70"/>
      <c r="H51" s="70"/>
      <c r="I51" s="70"/>
      <c r="J51" s="70"/>
      <c r="K51" s="67"/>
      <c r="L51" s="71" t="s">
        <v>72</v>
      </c>
      <c r="M51" s="72"/>
      <c r="N51" s="72"/>
      <c r="O51" s="73"/>
      <c r="P51" s="74"/>
      <c r="Q51" s="74"/>
    </row>
    <row r="52" spans="3:19" ht="23.7" customHeight="1">
      <c r="C52" s="75" t="s">
        <v>73</v>
      </c>
      <c r="D52" s="76">
        <v>1000</v>
      </c>
      <c r="E52" s="76">
        <v>1100</v>
      </c>
      <c r="F52" s="76">
        <v>1200</v>
      </c>
      <c r="G52" s="76">
        <v>1300</v>
      </c>
      <c r="H52" s="76">
        <v>1400</v>
      </c>
      <c r="I52" s="76">
        <v>1500</v>
      </c>
      <c r="J52" s="76">
        <v>1600</v>
      </c>
      <c r="K52" s="76">
        <v>1700</v>
      </c>
      <c r="L52" s="77">
        <v>1800</v>
      </c>
      <c r="M52" s="77">
        <v>1900</v>
      </c>
      <c r="N52" s="77">
        <v>2000</v>
      </c>
      <c r="O52" s="77">
        <v>2100</v>
      </c>
      <c r="P52" s="77">
        <v>2200</v>
      </c>
      <c r="Q52" s="77">
        <v>2300</v>
      </c>
      <c r="R52" s="75" t="str">
        <f>C52</f>
        <v>Heizleistung KW</v>
      </c>
    </row>
    <row r="53" spans="3:19">
      <c r="C53" s="78">
        <v>2</v>
      </c>
      <c r="D53" s="79" t="str">
        <f>CONCATENATE($C53,"*",D$52,"=",$C53*D$52)</f>
        <v>2*1000=2000</v>
      </c>
      <c r="E53" s="80">
        <f t="shared" ref="E53:Q68" si="10">$C53*E$52</f>
        <v>2200</v>
      </c>
      <c r="F53" s="80">
        <f t="shared" si="10"/>
        <v>2400</v>
      </c>
      <c r="G53" s="80">
        <f t="shared" si="10"/>
        <v>2600</v>
      </c>
      <c r="H53" s="80">
        <f t="shared" si="10"/>
        <v>2800</v>
      </c>
      <c r="I53" s="80">
        <f t="shared" si="10"/>
        <v>3000</v>
      </c>
      <c r="J53" s="80">
        <f t="shared" si="10"/>
        <v>3200</v>
      </c>
      <c r="K53" s="80">
        <f t="shared" si="10"/>
        <v>3400</v>
      </c>
      <c r="L53" s="80">
        <f t="shared" si="10"/>
        <v>3600</v>
      </c>
      <c r="M53" s="80">
        <f t="shared" si="10"/>
        <v>3800</v>
      </c>
      <c r="N53" s="80">
        <f t="shared" si="10"/>
        <v>4000</v>
      </c>
      <c r="O53" s="80">
        <f t="shared" si="10"/>
        <v>4200</v>
      </c>
      <c r="P53" s="80">
        <f t="shared" si="10"/>
        <v>4400</v>
      </c>
      <c r="Q53" s="80">
        <f t="shared" si="10"/>
        <v>4600</v>
      </c>
      <c r="R53" s="81">
        <f>C53</f>
        <v>2</v>
      </c>
      <c r="S53" s="82">
        <f t="shared" ref="S53:S82" si="11">ROUND($S$83/C53,0)</f>
        <v>12500</v>
      </c>
    </row>
    <row r="54" spans="3:19">
      <c r="C54" s="78">
        <v>4</v>
      </c>
      <c r="D54" s="79">
        <f t="shared" ref="D54:Q82" si="12">$C54*D$52</f>
        <v>4000</v>
      </c>
      <c r="E54" s="83">
        <f t="shared" si="10"/>
        <v>4400</v>
      </c>
      <c r="F54" s="83">
        <f t="shared" si="10"/>
        <v>4800</v>
      </c>
      <c r="G54" s="83">
        <f t="shared" si="10"/>
        <v>5200</v>
      </c>
      <c r="H54" s="83">
        <f t="shared" si="10"/>
        <v>5600</v>
      </c>
      <c r="I54" s="83">
        <f t="shared" si="10"/>
        <v>6000</v>
      </c>
      <c r="J54" s="83">
        <f t="shared" si="10"/>
        <v>6400</v>
      </c>
      <c r="K54" s="83">
        <f t="shared" si="10"/>
        <v>6800</v>
      </c>
      <c r="L54" s="83">
        <f t="shared" si="10"/>
        <v>7200</v>
      </c>
      <c r="M54" s="83">
        <f t="shared" si="10"/>
        <v>7600</v>
      </c>
      <c r="N54" s="83">
        <f t="shared" si="10"/>
        <v>8000</v>
      </c>
      <c r="O54" s="83">
        <f t="shared" si="10"/>
        <v>8400</v>
      </c>
      <c r="P54" s="83">
        <f t="shared" si="10"/>
        <v>8800</v>
      </c>
      <c r="Q54" s="83">
        <f t="shared" si="10"/>
        <v>9200</v>
      </c>
      <c r="R54" s="81">
        <f t="shared" ref="R54:R82" si="13">C54</f>
        <v>4</v>
      </c>
      <c r="S54" s="82">
        <f t="shared" si="11"/>
        <v>6250</v>
      </c>
    </row>
    <row r="55" spans="3:19">
      <c r="C55" s="78">
        <v>6</v>
      </c>
      <c r="D55" s="79">
        <f t="shared" si="12"/>
        <v>6000</v>
      </c>
      <c r="E55" s="83">
        <f t="shared" si="10"/>
        <v>6600</v>
      </c>
      <c r="F55" s="83">
        <f t="shared" si="10"/>
        <v>7200</v>
      </c>
      <c r="G55" s="83">
        <f t="shared" si="10"/>
        <v>7800</v>
      </c>
      <c r="H55" s="83">
        <f t="shared" si="10"/>
        <v>8400</v>
      </c>
      <c r="I55" s="83">
        <f t="shared" si="10"/>
        <v>9000</v>
      </c>
      <c r="J55" s="83">
        <f t="shared" si="10"/>
        <v>9600</v>
      </c>
      <c r="K55" s="83">
        <f t="shared" si="10"/>
        <v>10200</v>
      </c>
      <c r="L55" s="83">
        <f t="shared" si="10"/>
        <v>10800</v>
      </c>
      <c r="M55" s="83">
        <f t="shared" si="10"/>
        <v>11400</v>
      </c>
      <c r="N55" s="83">
        <f t="shared" si="10"/>
        <v>12000</v>
      </c>
      <c r="O55" s="83">
        <f t="shared" si="10"/>
        <v>12600</v>
      </c>
      <c r="P55" s="83">
        <f t="shared" si="10"/>
        <v>13200</v>
      </c>
      <c r="Q55" s="83">
        <f t="shared" si="10"/>
        <v>13800</v>
      </c>
      <c r="R55" s="81">
        <f t="shared" si="13"/>
        <v>6</v>
      </c>
      <c r="S55" s="82">
        <f t="shared" si="11"/>
        <v>4167</v>
      </c>
    </row>
    <row r="56" spans="3:19">
      <c r="C56" s="78">
        <v>8</v>
      </c>
      <c r="D56" s="79">
        <f t="shared" si="12"/>
        <v>8000</v>
      </c>
      <c r="E56" s="83">
        <f t="shared" si="10"/>
        <v>8800</v>
      </c>
      <c r="F56" s="83">
        <f t="shared" si="10"/>
        <v>9600</v>
      </c>
      <c r="G56" s="83">
        <f t="shared" si="10"/>
        <v>10400</v>
      </c>
      <c r="H56" s="83">
        <f t="shared" si="10"/>
        <v>11200</v>
      </c>
      <c r="I56" s="83">
        <f t="shared" si="10"/>
        <v>12000</v>
      </c>
      <c r="J56" s="83">
        <f t="shared" si="10"/>
        <v>12800</v>
      </c>
      <c r="K56" s="83">
        <f t="shared" si="10"/>
        <v>13600</v>
      </c>
      <c r="L56" s="83">
        <f t="shared" si="10"/>
        <v>14400</v>
      </c>
      <c r="M56" s="83">
        <f t="shared" si="10"/>
        <v>15200</v>
      </c>
      <c r="N56" s="83">
        <f t="shared" si="10"/>
        <v>16000</v>
      </c>
      <c r="O56" s="83">
        <f t="shared" si="10"/>
        <v>16800</v>
      </c>
      <c r="P56" s="83">
        <f t="shared" si="10"/>
        <v>17600</v>
      </c>
      <c r="Q56" s="83">
        <f t="shared" si="10"/>
        <v>18400</v>
      </c>
      <c r="R56" s="81">
        <f t="shared" si="13"/>
        <v>8</v>
      </c>
      <c r="S56" s="82">
        <f t="shared" si="11"/>
        <v>3125</v>
      </c>
    </row>
    <row r="57" spans="3:19">
      <c r="C57" s="78">
        <v>10</v>
      </c>
      <c r="D57" s="79">
        <f t="shared" si="12"/>
        <v>10000</v>
      </c>
      <c r="E57" s="83">
        <f t="shared" si="10"/>
        <v>11000</v>
      </c>
      <c r="F57" s="83">
        <f t="shared" si="10"/>
        <v>12000</v>
      </c>
      <c r="G57" s="83">
        <f t="shared" si="10"/>
        <v>13000</v>
      </c>
      <c r="H57" s="83">
        <f t="shared" si="10"/>
        <v>14000</v>
      </c>
      <c r="I57" s="83">
        <f t="shared" si="10"/>
        <v>15000</v>
      </c>
      <c r="J57" s="83">
        <f t="shared" si="10"/>
        <v>16000</v>
      </c>
      <c r="K57" s="83">
        <f t="shared" si="10"/>
        <v>17000</v>
      </c>
      <c r="L57" s="83">
        <f t="shared" si="10"/>
        <v>18000</v>
      </c>
      <c r="M57" s="83">
        <f t="shared" si="10"/>
        <v>19000</v>
      </c>
      <c r="N57" s="83">
        <f t="shared" si="10"/>
        <v>20000</v>
      </c>
      <c r="O57" s="83">
        <f t="shared" si="10"/>
        <v>21000</v>
      </c>
      <c r="P57" s="83">
        <f t="shared" si="10"/>
        <v>22000</v>
      </c>
      <c r="Q57" s="83">
        <f t="shared" si="10"/>
        <v>23000</v>
      </c>
      <c r="R57" s="81">
        <f t="shared" si="13"/>
        <v>10</v>
      </c>
      <c r="S57" s="82">
        <f t="shared" si="11"/>
        <v>2500</v>
      </c>
    </row>
    <row r="58" spans="3:19">
      <c r="C58" s="78">
        <v>12</v>
      </c>
      <c r="D58" s="79">
        <f t="shared" si="12"/>
        <v>12000</v>
      </c>
      <c r="E58" s="83">
        <f t="shared" si="10"/>
        <v>13200</v>
      </c>
      <c r="F58" s="83">
        <f t="shared" si="10"/>
        <v>14400</v>
      </c>
      <c r="G58" s="83">
        <f t="shared" si="10"/>
        <v>15600</v>
      </c>
      <c r="H58" s="83">
        <f t="shared" si="10"/>
        <v>16800</v>
      </c>
      <c r="I58" s="83">
        <f t="shared" si="10"/>
        <v>18000</v>
      </c>
      <c r="J58" s="83">
        <f t="shared" si="10"/>
        <v>19200</v>
      </c>
      <c r="K58" s="83">
        <f t="shared" si="10"/>
        <v>20400</v>
      </c>
      <c r="L58" s="83">
        <f t="shared" si="10"/>
        <v>21600</v>
      </c>
      <c r="M58" s="83">
        <f t="shared" si="10"/>
        <v>22800</v>
      </c>
      <c r="N58" s="83">
        <f t="shared" si="10"/>
        <v>24000</v>
      </c>
      <c r="O58" s="83">
        <f t="shared" si="10"/>
        <v>25200</v>
      </c>
      <c r="P58" s="83">
        <f t="shared" si="10"/>
        <v>26400</v>
      </c>
      <c r="Q58" s="83">
        <f t="shared" si="10"/>
        <v>27600</v>
      </c>
      <c r="R58" s="81">
        <f t="shared" si="13"/>
        <v>12</v>
      </c>
      <c r="S58" s="82">
        <f t="shared" si="11"/>
        <v>2083</v>
      </c>
    </row>
    <row r="59" spans="3:19">
      <c r="C59" s="78">
        <v>14</v>
      </c>
      <c r="D59" s="79">
        <f t="shared" si="12"/>
        <v>14000</v>
      </c>
      <c r="E59" s="83">
        <f t="shared" si="10"/>
        <v>15400</v>
      </c>
      <c r="F59" s="83">
        <f t="shared" si="10"/>
        <v>16800</v>
      </c>
      <c r="G59" s="83">
        <f t="shared" si="10"/>
        <v>18200</v>
      </c>
      <c r="H59" s="83">
        <f t="shared" si="10"/>
        <v>19600</v>
      </c>
      <c r="I59" s="83">
        <f t="shared" si="10"/>
        <v>21000</v>
      </c>
      <c r="J59" s="83">
        <f t="shared" si="10"/>
        <v>22400</v>
      </c>
      <c r="K59" s="83">
        <f t="shared" si="10"/>
        <v>23800</v>
      </c>
      <c r="L59" s="83">
        <f t="shared" si="10"/>
        <v>25200</v>
      </c>
      <c r="M59" s="83">
        <f t="shared" si="10"/>
        <v>26600</v>
      </c>
      <c r="N59" s="83">
        <f t="shared" si="10"/>
        <v>28000</v>
      </c>
      <c r="O59" s="83">
        <f t="shared" si="10"/>
        <v>29400</v>
      </c>
      <c r="P59" s="83">
        <f t="shared" si="10"/>
        <v>30800</v>
      </c>
      <c r="Q59" s="83">
        <f t="shared" si="10"/>
        <v>32200</v>
      </c>
      <c r="R59" s="81">
        <f t="shared" si="13"/>
        <v>14</v>
      </c>
      <c r="S59" s="82">
        <f t="shared" si="11"/>
        <v>1786</v>
      </c>
    </row>
    <row r="60" spans="3:19">
      <c r="C60" s="78">
        <v>16</v>
      </c>
      <c r="D60" s="79">
        <f t="shared" si="12"/>
        <v>16000</v>
      </c>
      <c r="E60" s="83">
        <f t="shared" si="10"/>
        <v>17600</v>
      </c>
      <c r="F60" s="83">
        <f t="shared" si="10"/>
        <v>19200</v>
      </c>
      <c r="G60" s="83">
        <f t="shared" si="10"/>
        <v>20800</v>
      </c>
      <c r="H60" s="83">
        <f t="shared" si="10"/>
        <v>22400</v>
      </c>
      <c r="I60" s="83">
        <f t="shared" si="10"/>
        <v>24000</v>
      </c>
      <c r="J60" s="83">
        <f t="shared" si="10"/>
        <v>25600</v>
      </c>
      <c r="K60" s="83">
        <f t="shared" si="10"/>
        <v>27200</v>
      </c>
      <c r="L60" s="83">
        <f t="shared" si="10"/>
        <v>28800</v>
      </c>
      <c r="M60" s="83">
        <f t="shared" si="10"/>
        <v>30400</v>
      </c>
      <c r="N60" s="83">
        <f t="shared" si="10"/>
        <v>32000</v>
      </c>
      <c r="O60" s="83">
        <f t="shared" si="10"/>
        <v>33600</v>
      </c>
      <c r="P60" s="83">
        <f t="shared" si="10"/>
        <v>35200</v>
      </c>
      <c r="Q60" s="83">
        <f t="shared" si="10"/>
        <v>36800</v>
      </c>
      <c r="R60" s="81">
        <f t="shared" si="13"/>
        <v>16</v>
      </c>
      <c r="S60" s="82">
        <f t="shared" si="11"/>
        <v>1563</v>
      </c>
    </row>
    <row r="61" spans="3:19">
      <c r="C61" s="78">
        <v>18</v>
      </c>
      <c r="D61" s="79">
        <f t="shared" si="12"/>
        <v>18000</v>
      </c>
      <c r="E61" s="83">
        <f t="shared" si="10"/>
        <v>19800</v>
      </c>
      <c r="F61" s="83">
        <f t="shared" si="10"/>
        <v>21600</v>
      </c>
      <c r="G61" s="83">
        <f t="shared" si="10"/>
        <v>23400</v>
      </c>
      <c r="H61" s="83">
        <f t="shared" si="10"/>
        <v>25200</v>
      </c>
      <c r="I61" s="83">
        <f t="shared" si="10"/>
        <v>27000</v>
      </c>
      <c r="J61" s="83">
        <f t="shared" si="10"/>
        <v>28800</v>
      </c>
      <c r="K61" s="83">
        <f t="shared" si="10"/>
        <v>30600</v>
      </c>
      <c r="L61" s="83">
        <f t="shared" si="10"/>
        <v>32400</v>
      </c>
      <c r="M61" s="83">
        <f t="shared" si="10"/>
        <v>34200</v>
      </c>
      <c r="N61" s="83">
        <f t="shared" si="10"/>
        <v>36000</v>
      </c>
      <c r="O61" s="83">
        <f t="shared" si="10"/>
        <v>37800</v>
      </c>
      <c r="P61" s="83">
        <f t="shared" si="10"/>
        <v>39600</v>
      </c>
      <c r="Q61" s="83">
        <f t="shared" si="10"/>
        <v>41400</v>
      </c>
      <c r="R61" s="81">
        <f t="shared" si="13"/>
        <v>18</v>
      </c>
      <c r="S61" s="82">
        <f t="shared" si="11"/>
        <v>1389</v>
      </c>
    </row>
    <row r="62" spans="3:19">
      <c r="C62" s="78">
        <v>20</v>
      </c>
      <c r="D62" s="79">
        <f t="shared" si="12"/>
        <v>20000</v>
      </c>
      <c r="E62" s="83">
        <f t="shared" si="10"/>
        <v>22000</v>
      </c>
      <c r="F62" s="83">
        <f t="shared" si="10"/>
        <v>24000</v>
      </c>
      <c r="G62" s="83">
        <f t="shared" si="10"/>
        <v>26000</v>
      </c>
      <c r="H62" s="83">
        <f t="shared" si="10"/>
        <v>28000</v>
      </c>
      <c r="I62" s="83">
        <f t="shared" si="10"/>
        <v>30000</v>
      </c>
      <c r="J62" s="83">
        <f t="shared" si="10"/>
        <v>32000</v>
      </c>
      <c r="K62" s="83">
        <f t="shared" si="10"/>
        <v>34000</v>
      </c>
      <c r="L62" s="83">
        <f t="shared" si="10"/>
        <v>36000</v>
      </c>
      <c r="M62" s="83">
        <f t="shared" si="10"/>
        <v>38000</v>
      </c>
      <c r="N62" s="83">
        <f t="shared" si="10"/>
        <v>40000</v>
      </c>
      <c r="O62" s="83">
        <f t="shared" si="10"/>
        <v>42000</v>
      </c>
      <c r="P62" s="83">
        <f t="shared" si="10"/>
        <v>44000</v>
      </c>
      <c r="Q62" s="83">
        <f t="shared" si="10"/>
        <v>46000</v>
      </c>
      <c r="R62" s="81">
        <f t="shared" si="13"/>
        <v>20</v>
      </c>
      <c r="S62" s="82">
        <f t="shared" si="11"/>
        <v>1250</v>
      </c>
    </row>
    <row r="63" spans="3:19">
      <c r="C63" s="78">
        <v>22</v>
      </c>
      <c r="D63" s="79">
        <f t="shared" si="12"/>
        <v>22000</v>
      </c>
      <c r="E63" s="83">
        <f t="shared" si="10"/>
        <v>24200</v>
      </c>
      <c r="F63" s="83">
        <f t="shared" si="10"/>
        <v>26400</v>
      </c>
      <c r="G63" s="83">
        <f t="shared" si="10"/>
        <v>28600</v>
      </c>
      <c r="H63" s="83">
        <f t="shared" si="10"/>
        <v>30800</v>
      </c>
      <c r="I63" s="83">
        <f t="shared" si="10"/>
        <v>33000</v>
      </c>
      <c r="J63" s="83">
        <f t="shared" si="10"/>
        <v>35200</v>
      </c>
      <c r="K63" s="83">
        <f t="shared" si="10"/>
        <v>37400</v>
      </c>
      <c r="L63" s="83">
        <f t="shared" si="10"/>
        <v>39600</v>
      </c>
      <c r="M63" s="83">
        <f t="shared" si="10"/>
        <v>41800</v>
      </c>
      <c r="N63" s="83">
        <f t="shared" si="10"/>
        <v>44000</v>
      </c>
      <c r="O63" s="83">
        <f t="shared" si="10"/>
        <v>46200</v>
      </c>
      <c r="P63" s="83">
        <f t="shared" si="10"/>
        <v>48400</v>
      </c>
      <c r="Q63" s="83">
        <f t="shared" si="10"/>
        <v>50600</v>
      </c>
      <c r="R63" s="81">
        <f t="shared" si="13"/>
        <v>22</v>
      </c>
      <c r="S63" s="82">
        <f t="shared" si="11"/>
        <v>1136</v>
      </c>
    </row>
    <row r="64" spans="3:19">
      <c r="C64" s="78">
        <v>24</v>
      </c>
      <c r="D64" s="79">
        <f t="shared" si="12"/>
        <v>24000</v>
      </c>
      <c r="E64" s="83">
        <f t="shared" si="10"/>
        <v>26400</v>
      </c>
      <c r="F64" s="83">
        <f t="shared" si="10"/>
        <v>28800</v>
      </c>
      <c r="G64" s="83">
        <f t="shared" si="10"/>
        <v>31200</v>
      </c>
      <c r="H64" s="83">
        <f t="shared" si="10"/>
        <v>33600</v>
      </c>
      <c r="I64" s="83">
        <f t="shared" si="10"/>
        <v>36000</v>
      </c>
      <c r="J64" s="83">
        <f t="shared" si="10"/>
        <v>38400</v>
      </c>
      <c r="K64" s="83">
        <f t="shared" si="10"/>
        <v>40800</v>
      </c>
      <c r="L64" s="83">
        <f t="shared" si="10"/>
        <v>43200</v>
      </c>
      <c r="M64" s="83">
        <f t="shared" si="10"/>
        <v>45600</v>
      </c>
      <c r="N64" s="83">
        <f t="shared" si="10"/>
        <v>48000</v>
      </c>
      <c r="O64" s="83">
        <f t="shared" si="10"/>
        <v>50400</v>
      </c>
      <c r="P64" s="83">
        <f t="shared" si="10"/>
        <v>52800</v>
      </c>
      <c r="Q64" s="83">
        <f t="shared" si="10"/>
        <v>55200</v>
      </c>
      <c r="R64" s="81">
        <f t="shared" si="13"/>
        <v>24</v>
      </c>
      <c r="S64" s="82">
        <f t="shared" si="11"/>
        <v>1042</v>
      </c>
    </row>
    <row r="65" spans="3:19">
      <c r="C65" s="78">
        <v>26</v>
      </c>
      <c r="D65" s="79">
        <f t="shared" si="12"/>
        <v>26000</v>
      </c>
      <c r="E65" s="83">
        <f t="shared" si="10"/>
        <v>28600</v>
      </c>
      <c r="F65" s="83">
        <f t="shared" si="10"/>
        <v>31200</v>
      </c>
      <c r="G65" s="83">
        <f t="shared" si="10"/>
        <v>33800</v>
      </c>
      <c r="H65" s="83">
        <f t="shared" si="10"/>
        <v>36400</v>
      </c>
      <c r="I65" s="83">
        <f t="shared" si="10"/>
        <v>39000</v>
      </c>
      <c r="J65" s="83">
        <f t="shared" si="10"/>
        <v>41600</v>
      </c>
      <c r="K65" s="83">
        <f t="shared" si="10"/>
        <v>44200</v>
      </c>
      <c r="L65" s="83">
        <f t="shared" si="10"/>
        <v>46800</v>
      </c>
      <c r="M65" s="83">
        <f t="shared" si="10"/>
        <v>49400</v>
      </c>
      <c r="N65" s="83">
        <f t="shared" si="10"/>
        <v>52000</v>
      </c>
      <c r="O65" s="83">
        <f t="shared" si="10"/>
        <v>54600</v>
      </c>
      <c r="P65" s="83">
        <f t="shared" si="10"/>
        <v>57200</v>
      </c>
      <c r="Q65" s="83">
        <f t="shared" si="10"/>
        <v>59800</v>
      </c>
      <c r="R65" s="81">
        <f t="shared" si="13"/>
        <v>26</v>
      </c>
      <c r="S65" s="82">
        <f t="shared" si="11"/>
        <v>962</v>
      </c>
    </row>
    <row r="66" spans="3:19">
      <c r="C66" s="78">
        <v>28</v>
      </c>
      <c r="D66" s="79">
        <f t="shared" si="12"/>
        <v>28000</v>
      </c>
      <c r="E66" s="83">
        <f t="shared" si="10"/>
        <v>30800</v>
      </c>
      <c r="F66" s="83">
        <f t="shared" si="10"/>
        <v>33600</v>
      </c>
      <c r="G66" s="83">
        <f t="shared" si="10"/>
        <v>36400</v>
      </c>
      <c r="H66" s="83">
        <f t="shared" si="10"/>
        <v>39200</v>
      </c>
      <c r="I66" s="83">
        <f t="shared" si="10"/>
        <v>42000</v>
      </c>
      <c r="J66" s="83">
        <f t="shared" si="10"/>
        <v>44800</v>
      </c>
      <c r="K66" s="83">
        <f t="shared" si="10"/>
        <v>47600</v>
      </c>
      <c r="L66" s="83">
        <f t="shared" si="10"/>
        <v>50400</v>
      </c>
      <c r="M66" s="83">
        <f t="shared" si="10"/>
        <v>53200</v>
      </c>
      <c r="N66" s="83">
        <f t="shared" si="10"/>
        <v>56000</v>
      </c>
      <c r="O66" s="83">
        <f t="shared" si="10"/>
        <v>58800</v>
      </c>
      <c r="P66" s="83">
        <f t="shared" si="10"/>
        <v>61600</v>
      </c>
      <c r="Q66" s="83">
        <f t="shared" si="10"/>
        <v>64400</v>
      </c>
      <c r="R66" s="81">
        <f t="shared" si="13"/>
        <v>28</v>
      </c>
      <c r="S66" s="82">
        <f t="shared" si="11"/>
        <v>893</v>
      </c>
    </row>
    <row r="67" spans="3:19">
      <c r="C67" s="78">
        <v>30</v>
      </c>
      <c r="D67" s="79">
        <f t="shared" si="12"/>
        <v>30000</v>
      </c>
      <c r="E67" s="83">
        <f t="shared" si="10"/>
        <v>33000</v>
      </c>
      <c r="F67" s="83">
        <f t="shared" si="10"/>
        <v>36000</v>
      </c>
      <c r="G67" s="83">
        <f t="shared" si="10"/>
        <v>39000</v>
      </c>
      <c r="H67" s="83">
        <f t="shared" si="10"/>
        <v>42000</v>
      </c>
      <c r="I67" s="83">
        <f t="shared" si="10"/>
        <v>45000</v>
      </c>
      <c r="J67" s="83">
        <f t="shared" si="10"/>
        <v>48000</v>
      </c>
      <c r="K67" s="83">
        <f t="shared" si="10"/>
        <v>51000</v>
      </c>
      <c r="L67" s="83">
        <f t="shared" si="10"/>
        <v>54000</v>
      </c>
      <c r="M67" s="83">
        <f t="shared" si="10"/>
        <v>57000</v>
      </c>
      <c r="N67" s="83">
        <f t="shared" si="10"/>
        <v>60000</v>
      </c>
      <c r="O67" s="83">
        <f t="shared" si="10"/>
        <v>63000</v>
      </c>
      <c r="P67" s="83">
        <f t="shared" si="10"/>
        <v>66000</v>
      </c>
      <c r="Q67" s="83">
        <f t="shared" si="10"/>
        <v>69000</v>
      </c>
      <c r="R67" s="81">
        <f t="shared" si="13"/>
        <v>30</v>
      </c>
      <c r="S67" s="82">
        <f t="shared" si="11"/>
        <v>833</v>
      </c>
    </row>
    <row r="68" spans="3:19">
      <c r="C68" s="78">
        <v>32</v>
      </c>
      <c r="D68" s="79">
        <f t="shared" si="12"/>
        <v>32000</v>
      </c>
      <c r="E68" s="83">
        <f t="shared" si="10"/>
        <v>35200</v>
      </c>
      <c r="F68" s="83">
        <f t="shared" si="10"/>
        <v>38400</v>
      </c>
      <c r="G68" s="83">
        <f t="shared" si="10"/>
        <v>41600</v>
      </c>
      <c r="H68" s="83">
        <f t="shared" si="10"/>
        <v>44800</v>
      </c>
      <c r="I68" s="83">
        <f t="shared" si="10"/>
        <v>48000</v>
      </c>
      <c r="J68" s="83">
        <f t="shared" si="10"/>
        <v>51200</v>
      </c>
      <c r="K68" s="83">
        <f t="shared" si="10"/>
        <v>54400</v>
      </c>
      <c r="L68" s="83">
        <f t="shared" si="10"/>
        <v>57600</v>
      </c>
      <c r="M68" s="83">
        <f t="shared" si="10"/>
        <v>60800</v>
      </c>
      <c r="N68" s="83">
        <f t="shared" si="10"/>
        <v>64000</v>
      </c>
      <c r="O68" s="83">
        <f t="shared" si="10"/>
        <v>67200</v>
      </c>
      <c r="P68" s="83">
        <f t="shared" si="10"/>
        <v>70400</v>
      </c>
      <c r="Q68" s="83">
        <f t="shared" si="10"/>
        <v>73600</v>
      </c>
      <c r="R68" s="81">
        <f t="shared" si="13"/>
        <v>32</v>
      </c>
      <c r="S68" s="82">
        <f t="shared" si="11"/>
        <v>781</v>
      </c>
    </row>
    <row r="69" spans="3:19">
      <c r="C69" s="78">
        <v>34</v>
      </c>
      <c r="D69" s="79">
        <f t="shared" si="12"/>
        <v>34000</v>
      </c>
      <c r="E69" s="83">
        <f t="shared" si="12"/>
        <v>37400</v>
      </c>
      <c r="F69" s="83">
        <f t="shared" si="12"/>
        <v>40800</v>
      </c>
      <c r="G69" s="83">
        <f t="shared" si="12"/>
        <v>44200</v>
      </c>
      <c r="H69" s="83">
        <f t="shared" si="12"/>
        <v>47600</v>
      </c>
      <c r="I69" s="83">
        <f t="shared" si="12"/>
        <v>51000</v>
      </c>
      <c r="J69" s="83">
        <f t="shared" si="12"/>
        <v>54400</v>
      </c>
      <c r="K69" s="83">
        <f t="shared" si="12"/>
        <v>57800</v>
      </c>
      <c r="L69" s="83">
        <f t="shared" si="12"/>
        <v>61200</v>
      </c>
      <c r="M69" s="83">
        <f t="shared" si="12"/>
        <v>64600</v>
      </c>
      <c r="N69" s="83">
        <f t="shared" si="12"/>
        <v>68000</v>
      </c>
      <c r="O69" s="83">
        <f t="shared" si="12"/>
        <v>71400</v>
      </c>
      <c r="P69" s="83">
        <f t="shared" si="12"/>
        <v>74800</v>
      </c>
      <c r="Q69" s="83">
        <f t="shared" si="12"/>
        <v>78200</v>
      </c>
      <c r="R69" s="81">
        <f t="shared" si="13"/>
        <v>34</v>
      </c>
      <c r="S69" s="82">
        <f t="shared" si="11"/>
        <v>735</v>
      </c>
    </row>
    <row r="70" spans="3:19">
      <c r="C70" s="78">
        <v>36</v>
      </c>
      <c r="D70" s="79">
        <f t="shared" si="12"/>
        <v>36000</v>
      </c>
      <c r="E70" s="83">
        <f t="shared" si="12"/>
        <v>39600</v>
      </c>
      <c r="F70" s="83">
        <f t="shared" si="12"/>
        <v>43200</v>
      </c>
      <c r="G70" s="83">
        <f t="shared" si="12"/>
        <v>46800</v>
      </c>
      <c r="H70" s="83">
        <f t="shared" si="12"/>
        <v>50400</v>
      </c>
      <c r="I70" s="83">
        <f t="shared" si="12"/>
        <v>54000</v>
      </c>
      <c r="J70" s="83">
        <f t="shared" si="12"/>
        <v>57600</v>
      </c>
      <c r="K70" s="83">
        <f t="shared" si="12"/>
        <v>61200</v>
      </c>
      <c r="L70" s="83">
        <f t="shared" si="12"/>
        <v>64800</v>
      </c>
      <c r="M70" s="83">
        <f t="shared" si="12"/>
        <v>68400</v>
      </c>
      <c r="N70" s="83">
        <f t="shared" si="12"/>
        <v>72000</v>
      </c>
      <c r="O70" s="83">
        <f t="shared" si="12"/>
        <v>75600</v>
      </c>
      <c r="P70" s="83">
        <f t="shared" si="12"/>
        <v>79200</v>
      </c>
      <c r="Q70" s="83">
        <f t="shared" si="12"/>
        <v>82800</v>
      </c>
      <c r="R70" s="81">
        <f t="shared" si="13"/>
        <v>36</v>
      </c>
      <c r="S70" s="82">
        <f t="shared" si="11"/>
        <v>694</v>
      </c>
    </row>
    <row r="71" spans="3:19">
      <c r="C71" s="78">
        <v>38</v>
      </c>
      <c r="D71" s="79">
        <f t="shared" si="12"/>
        <v>38000</v>
      </c>
      <c r="E71" s="83">
        <f t="shared" si="12"/>
        <v>41800</v>
      </c>
      <c r="F71" s="83">
        <f t="shared" si="12"/>
        <v>45600</v>
      </c>
      <c r="G71" s="83">
        <f t="shared" si="12"/>
        <v>49400</v>
      </c>
      <c r="H71" s="83">
        <f t="shared" si="12"/>
        <v>53200</v>
      </c>
      <c r="I71" s="83">
        <f t="shared" si="12"/>
        <v>57000</v>
      </c>
      <c r="J71" s="83">
        <f t="shared" si="12"/>
        <v>60800</v>
      </c>
      <c r="K71" s="83">
        <f t="shared" si="12"/>
        <v>64600</v>
      </c>
      <c r="L71" s="83">
        <f t="shared" si="12"/>
        <v>68400</v>
      </c>
      <c r="M71" s="83">
        <f t="shared" si="12"/>
        <v>72200</v>
      </c>
      <c r="N71" s="83">
        <f t="shared" si="12"/>
        <v>76000</v>
      </c>
      <c r="O71" s="83">
        <f t="shared" si="12"/>
        <v>79800</v>
      </c>
      <c r="P71" s="83">
        <f t="shared" si="12"/>
        <v>83600</v>
      </c>
      <c r="Q71" s="83">
        <f t="shared" si="12"/>
        <v>87400</v>
      </c>
      <c r="R71" s="81">
        <f t="shared" si="13"/>
        <v>38</v>
      </c>
      <c r="S71" s="82">
        <f t="shared" si="11"/>
        <v>658</v>
      </c>
    </row>
    <row r="72" spans="3:19">
      <c r="C72" s="78">
        <v>40</v>
      </c>
      <c r="D72" s="79">
        <f t="shared" si="12"/>
        <v>40000</v>
      </c>
      <c r="E72" s="83">
        <f t="shared" si="12"/>
        <v>44000</v>
      </c>
      <c r="F72" s="83">
        <f t="shared" si="12"/>
        <v>48000</v>
      </c>
      <c r="G72" s="83">
        <f t="shared" si="12"/>
        <v>52000</v>
      </c>
      <c r="H72" s="83">
        <f t="shared" si="12"/>
        <v>56000</v>
      </c>
      <c r="I72" s="83">
        <f t="shared" si="12"/>
        <v>60000</v>
      </c>
      <c r="J72" s="83">
        <f t="shared" si="12"/>
        <v>64000</v>
      </c>
      <c r="K72" s="83">
        <f t="shared" si="12"/>
        <v>68000</v>
      </c>
      <c r="L72" s="83">
        <f t="shared" si="12"/>
        <v>72000</v>
      </c>
      <c r="M72" s="83">
        <f t="shared" si="12"/>
        <v>76000</v>
      </c>
      <c r="N72" s="83">
        <f t="shared" si="12"/>
        <v>80000</v>
      </c>
      <c r="O72" s="83">
        <f t="shared" si="12"/>
        <v>84000</v>
      </c>
      <c r="P72" s="83">
        <f t="shared" si="12"/>
        <v>88000</v>
      </c>
      <c r="Q72" s="83">
        <f t="shared" si="12"/>
        <v>92000</v>
      </c>
      <c r="R72" s="81">
        <f t="shared" si="13"/>
        <v>40</v>
      </c>
      <c r="S72" s="82">
        <f t="shared" si="11"/>
        <v>625</v>
      </c>
    </row>
    <row r="73" spans="3:19">
      <c r="C73" s="78">
        <v>50</v>
      </c>
      <c r="D73" s="79">
        <f t="shared" si="12"/>
        <v>50000</v>
      </c>
      <c r="E73" s="83">
        <f t="shared" si="12"/>
        <v>55000</v>
      </c>
      <c r="F73" s="83">
        <f t="shared" si="12"/>
        <v>60000</v>
      </c>
      <c r="G73" s="83">
        <f t="shared" si="12"/>
        <v>65000</v>
      </c>
      <c r="H73" s="83">
        <f t="shared" si="12"/>
        <v>70000</v>
      </c>
      <c r="I73" s="83">
        <f t="shared" si="12"/>
        <v>75000</v>
      </c>
      <c r="J73" s="83">
        <f t="shared" si="12"/>
        <v>80000</v>
      </c>
      <c r="K73" s="83">
        <f t="shared" si="12"/>
        <v>85000</v>
      </c>
      <c r="L73" s="83">
        <f t="shared" si="12"/>
        <v>90000</v>
      </c>
      <c r="M73" s="83">
        <f t="shared" si="12"/>
        <v>95000</v>
      </c>
      <c r="N73" s="83">
        <f t="shared" si="12"/>
        <v>100000</v>
      </c>
      <c r="O73" s="83">
        <f t="shared" si="12"/>
        <v>105000</v>
      </c>
      <c r="P73" s="83">
        <f t="shared" si="12"/>
        <v>110000</v>
      </c>
      <c r="Q73" s="83">
        <f t="shared" si="12"/>
        <v>115000</v>
      </c>
      <c r="R73" s="81">
        <f t="shared" si="13"/>
        <v>50</v>
      </c>
      <c r="S73" s="82">
        <f t="shared" si="11"/>
        <v>500</v>
      </c>
    </row>
    <row r="74" spans="3:19">
      <c r="C74" s="78">
        <v>75</v>
      </c>
      <c r="D74" s="79">
        <f t="shared" si="12"/>
        <v>75000</v>
      </c>
      <c r="E74" s="83">
        <f t="shared" si="12"/>
        <v>82500</v>
      </c>
      <c r="F74" s="83">
        <f t="shared" si="12"/>
        <v>90000</v>
      </c>
      <c r="G74" s="83">
        <f t="shared" si="12"/>
        <v>97500</v>
      </c>
      <c r="H74" s="83">
        <f t="shared" si="12"/>
        <v>105000</v>
      </c>
      <c r="I74" s="83">
        <f t="shared" si="12"/>
        <v>112500</v>
      </c>
      <c r="J74" s="83">
        <f t="shared" si="12"/>
        <v>120000</v>
      </c>
      <c r="K74" s="83">
        <f t="shared" si="12"/>
        <v>127500</v>
      </c>
      <c r="L74" s="83">
        <f t="shared" si="12"/>
        <v>135000</v>
      </c>
      <c r="M74" s="83">
        <f t="shared" si="12"/>
        <v>142500</v>
      </c>
      <c r="N74" s="83">
        <f t="shared" si="12"/>
        <v>150000</v>
      </c>
      <c r="O74" s="83">
        <f t="shared" si="12"/>
        <v>157500</v>
      </c>
      <c r="P74" s="83">
        <f t="shared" si="12"/>
        <v>165000</v>
      </c>
      <c r="Q74" s="83">
        <f t="shared" si="12"/>
        <v>172500</v>
      </c>
      <c r="R74" s="81">
        <f t="shared" si="13"/>
        <v>75</v>
      </c>
      <c r="S74" s="82">
        <f t="shared" si="11"/>
        <v>333</v>
      </c>
    </row>
    <row r="75" spans="3:19">
      <c r="C75" s="78">
        <v>100</v>
      </c>
      <c r="D75" s="79">
        <f t="shared" si="12"/>
        <v>100000</v>
      </c>
      <c r="E75" s="83">
        <f t="shared" si="12"/>
        <v>110000</v>
      </c>
      <c r="F75" s="83">
        <f t="shared" si="12"/>
        <v>120000</v>
      </c>
      <c r="G75" s="83">
        <f t="shared" si="12"/>
        <v>130000</v>
      </c>
      <c r="H75" s="83">
        <f t="shared" si="12"/>
        <v>140000</v>
      </c>
      <c r="I75" s="83">
        <f t="shared" si="12"/>
        <v>150000</v>
      </c>
      <c r="J75" s="83">
        <f t="shared" si="12"/>
        <v>160000</v>
      </c>
      <c r="K75" s="83">
        <f t="shared" si="12"/>
        <v>170000</v>
      </c>
      <c r="L75" s="83">
        <f t="shared" si="12"/>
        <v>180000</v>
      </c>
      <c r="M75" s="83">
        <f t="shared" si="12"/>
        <v>190000</v>
      </c>
      <c r="N75" s="83">
        <f t="shared" si="12"/>
        <v>200000</v>
      </c>
      <c r="O75" s="83">
        <f t="shared" si="12"/>
        <v>210000</v>
      </c>
      <c r="P75" s="83">
        <f t="shared" si="12"/>
        <v>220000</v>
      </c>
      <c r="Q75" s="83">
        <f t="shared" si="12"/>
        <v>230000</v>
      </c>
      <c r="R75" s="81">
        <f t="shared" si="13"/>
        <v>100</v>
      </c>
      <c r="S75" s="82">
        <f t="shared" si="11"/>
        <v>250</v>
      </c>
    </row>
    <row r="76" spans="3:19">
      <c r="C76" s="78">
        <v>125</v>
      </c>
      <c r="D76" s="79">
        <f t="shared" si="12"/>
        <v>125000</v>
      </c>
      <c r="E76" s="83">
        <f t="shared" si="12"/>
        <v>137500</v>
      </c>
      <c r="F76" s="83">
        <f t="shared" si="12"/>
        <v>150000</v>
      </c>
      <c r="G76" s="83">
        <f t="shared" si="12"/>
        <v>162500</v>
      </c>
      <c r="H76" s="83">
        <f t="shared" si="12"/>
        <v>175000</v>
      </c>
      <c r="I76" s="83">
        <f t="shared" si="12"/>
        <v>187500</v>
      </c>
      <c r="J76" s="83">
        <f t="shared" si="12"/>
        <v>200000</v>
      </c>
      <c r="K76" s="83">
        <f t="shared" si="12"/>
        <v>212500</v>
      </c>
      <c r="L76" s="83">
        <f t="shared" si="12"/>
        <v>225000</v>
      </c>
      <c r="M76" s="83">
        <f t="shared" si="12"/>
        <v>237500</v>
      </c>
      <c r="N76" s="83">
        <f t="shared" si="12"/>
        <v>250000</v>
      </c>
      <c r="O76" s="83">
        <f t="shared" si="12"/>
        <v>262500</v>
      </c>
      <c r="P76" s="83">
        <f t="shared" si="12"/>
        <v>275000</v>
      </c>
      <c r="Q76" s="83">
        <f t="shared" si="12"/>
        <v>287500</v>
      </c>
      <c r="R76" s="81">
        <f t="shared" si="13"/>
        <v>125</v>
      </c>
      <c r="S76" s="82">
        <f t="shared" si="11"/>
        <v>200</v>
      </c>
    </row>
    <row r="77" spans="3:19">
      <c r="C77" s="78">
        <v>150</v>
      </c>
      <c r="D77" s="79">
        <f t="shared" si="12"/>
        <v>150000</v>
      </c>
      <c r="E77" s="83">
        <f t="shared" si="12"/>
        <v>165000</v>
      </c>
      <c r="F77" s="83">
        <f t="shared" si="12"/>
        <v>180000</v>
      </c>
      <c r="G77" s="83">
        <f t="shared" si="12"/>
        <v>195000</v>
      </c>
      <c r="H77" s="83">
        <f t="shared" si="12"/>
        <v>210000</v>
      </c>
      <c r="I77" s="83">
        <f t="shared" si="12"/>
        <v>225000</v>
      </c>
      <c r="J77" s="83">
        <f t="shared" si="12"/>
        <v>240000</v>
      </c>
      <c r="K77" s="83">
        <f t="shared" si="12"/>
        <v>255000</v>
      </c>
      <c r="L77" s="83">
        <f t="shared" si="12"/>
        <v>270000</v>
      </c>
      <c r="M77" s="83">
        <f t="shared" si="12"/>
        <v>285000</v>
      </c>
      <c r="N77" s="83">
        <f t="shared" si="12"/>
        <v>300000</v>
      </c>
      <c r="O77" s="83">
        <f t="shared" si="12"/>
        <v>315000</v>
      </c>
      <c r="P77" s="83">
        <f t="shared" si="12"/>
        <v>330000</v>
      </c>
      <c r="Q77" s="83">
        <f t="shared" si="12"/>
        <v>345000</v>
      </c>
      <c r="R77" s="81">
        <f t="shared" si="13"/>
        <v>150</v>
      </c>
      <c r="S77" s="82">
        <f t="shared" si="11"/>
        <v>167</v>
      </c>
    </row>
    <row r="78" spans="3:19">
      <c r="C78" s="78">
        <v>200</v>
      </c>
      <c r="D78" s="79">
        <f t="shared" si="12"/>
        <v>200000</v>
      </c>
      <c r="E78" s="83">
        <f t="shared" si="12"/>
        <v>220000</v>
      </c>
      <c r="F78" s="83">
        <f t="shared" si="12"/>
        <v>240000</v>
      </c>
      <c r="G78" s="83">
        <f t="shared" si="12"/>
        <v>260000</v>
      </c>
      <c r="H78" s="83">
        <f t="shared" si="12"/>
        <v>280000</v>
      </c>
      <c r="I78" s="83">
        <f t="shared" si="12"/>
        <v>300000</v>
      </c>
      <c r="J78" s="83">
        <f t="shared" si="12"/>
        <v>320000</v>
      </c>
      <c r="K78" s="83">
        <f t="shared" si="12"/>
        <v>340000</v>
      </c>
      <c r="L78" s="83">
        <f t="shared" si="12"/>
        <v>360000</v>
      </c>
      <c r="M78" s="83">
        <f t="shared" si="12"/>
        <v>380000</v>
      </c>
      <c r="N78" s="83">
        <f t="shared" si="12"/>
        <v>400000</v>
      </c>
      <c r="O78" s="83">
        <f t="shared" si="12"/>
        <v>420000</v>
      </c>
      <c r="P78" s="83">
        <f t="shared" si="12"/>
        <v>440000</v>
      </c>
      <c r="Q78" s="83">
        <f t="shared" si="12"/>
        <v>460000</v>
      </c>
      <c r="R78" s="81">
        <f t="shared" si="13"/>
        <v>200</v>
      </c>
      <c r="S78" s="82">
        <f t="shared" si="11"/>
        <v>125</v>
      </c>
    </row>
    <row r="79" spans="3:19">
      <c r="C79" s="78">
        <v>400</v>
      </c>
      <c r="D79" s="79">
        <f t="shared" si="12"/>
        <v>400000</v>
      </c>
      <c r="E79" s="83">
        <f t="shared" si="12"/>
        <v>440000</v>
      </c>
      <c r="F79" s="83">
        <f t="shared" si="12"/>
        <v>480000</v>
      </c>
      <c r="G79" s="83">
        <f t="shared" si="12"/>
        <v>520000</v>
      </c>
      <c r="H79" s="83">
        <f t="shared" si="12"/>
        <v>560000</v>
      </c>
      <c r="I79" s="83">
        <f t="shared" si="12"/>
        <v>600000</v>
      </c>
      <c r="J79" s="83">
        <f t="shared" si="12"/>
        <v>640000</v>
      </c>
      <c r="K79" s="83">
        <f t="shared" si="12"/>
        <v>680000</v>
      </c>
      <c r="L79" s="83">
        <f t="shared" si="12"/>
        <v>720000</v>
      </c>
      <c r="M79" s="83">
        <f t="shared" si="12"/>
        <v>760000</v>
      </c>
      <c r="N79" s="83">
        <f t="shared" si="12"/>
        <v>800000</v>
      </c>
      <c r="O79" s="83">
        <f t="shared" si="12"/>
        <v>840000</v>
      </c>
      <c r="P79" s="83">
        <f t="shared" si="12"/>
        <v>880000</v>
      </c>
      <c r="Q79" s="83">
        <f t="shared" si="12"/>
        <v>920000</v>
      </c>
      <c r="R79" s="81">
        <f t="shared" si="13"/>
        <v>400</v>
      </c>
      <c r="S79" s="82">
        <f t="shared" si="11"/>
        <v>63</v>
      </c>
    </row>
    <row r="80" spans="3:19">
      <c r="C80" s="78">
        <v>600</v>
      </c>
      <c r="D80" s="79">
        <f t="shared" si="12"/>
        <v>600000</v>
      </c>
      <c r="E80" s="83">
        <f t="shared" si="12"/>
        <v>660000</v>
      </c>
      <c r="F80" s="83">
        <f t="shared" si="12"/>
        <v>720000</v>
      </c>
      <c r="G80" s="83">
        <f t="shared" si="12"/>
        <v>780000</v>
      </c>
      <c r="H80" s="83">
        <f t="shared" si="12"/>
        <v>840000</v>
      </c>
      <c r="I80" s="83">
        <f t="shared" si="12"/>
        <v>900000</v>
      </c>
      <c r="J80" s="83">
        <f t="shared" si="12"/>
        <v>960000</v>
      </c>
      <c r="K80" s="83">
        <f t="shared" si="12"/>
        <v>1020000</v>
      </c>
      <c r="L80" s="83">
        <f t="shared" si="12"/>
        <v>1080000</v>
      </c>
      <c r="M80" s="83">
        <f t="shared" si="12"/>
        <v>1140000</v>
      </c>
      <c r="N80" s="83">
        <f t="shared" si="12"/>
        <v>1200000</v>
      </c>
      <c r="O80" s="83">
        <f t="shared" si="12"/>
        <v>1260000</v>
      </c>
      <c r="P80" s="83">
        <f t="shared" si="12"/>
        <v>1320000</v>
      </c>
      <c r="Q80" s="83">
        <f t="shared" si="12"/>
        <v>1380000</v>
      </c>
      <c r="R80" s="81">
        <f t="shared" si="13"/>
        <v>600</v>
      </c>
      <c r="S80" s="82">
        <f t="shared" si="11"/>
        <v>42</v>
      </c>
    </row>
    <row r="81" spans="3:20">
      <c r="C81" s="78">
        <v>800</v>
      </c>
      <c r="D81" s="79">
        <f t="shared" si="12"/>
        <v>800000</v>
      </c>
      <c r="E81" s="83">
        <f t="shared" si="12"/>
        <v>880000</v>
      </c>
      <c r="F81" s="83">
        <f t="shared" si="12"/>
        <v>960000</v>
      </c>
      <c r="G81" s="83">
        <f t="shared" si="12"/>
        <v>1040000</v>
      </c>
      <c r="H81" s="83">
        <f t="shared" si="12"/>
        <v>1120000</v>
      </c>
      <c r="I81" s="83">
        <f t="shared" si="12"/>
        <v>1200000</v>
      </c>
      <c r="J81" s="83">
        <f t="shared" si="12"/>
        <v>1280000</v>
      </c>
      <c r="K81" s="83">
        <f t="shared" si="12"/>
        <v>1360000</v>
      </c>
      <c r="L81" s="83">
        <f t="shared" si="12"/>
        <v>1440000</v>
      </c>
      <c r="M81" s="83">
        <f t="shared" si="12"/>
        <v>1520000</v>
      </c>
      <c r="N81" s="83">
        <f t="shared" si="12"/>
        <v>1600000</v>
      </c>
      <c r="O81" s="83">
        <f t="shared" si="12"/>
        <v>1680000</v>
      </c>
      <c r="P81" s="83">
        <f t="shared" si="12"/>
        <v>1760000</v>
      </c>
      <c r="Q81" s="83">
        <f t="shared" si="12"/>
        <v>1840000</v>
      </c>
      <c r="R81" s="81">
        <f t="shared" si="13"/>
        <v>800</v>
      </c>
      <c r="S81" s="82">
        <f t="shared" si="11"/>
        <v>31</v>
      </c>
    </row>
    <row r="82" spans="3:20">
      <c r="C82" s="78">
        <v>1000</v>
      </c>
      <c r="D82" s="79">
        <f t="shared" si="12"/>
        <v>1000000</v>
      </c>
      <c r="E82" s="83">
        <f t="shared" si="12"/>
        <v>1100000</v>
      </c>
      <c r="F82" s="83">
        <f t="shared" si="12"/>
        <v>1200000</v>
      </c>
      <c r="G82" s="83">
        <f t="shared" si="12"/>
        <v>1300000</v>
      </c>
      <c r="H82" s="83">
        <f t="shared" si="12"/>
        <v>1400000</v>
      </c>
      <c r="I82" s="83">
        <f t="shared" si="12"/>
        <v>1500000</v>
      </c>
      <c r="J82" s="83">
        <f t="shared" si="12"/>
        <v>1600000</v>
      </c>
      <c r="K82" s="83">
        <f t="shared" si="12"/>
        <v>1700000</v>
      </c>
      <c r="L82" s="83">
        <f t="shared" si="12"/>
        <v>1800000</v>
      </c>
      <c r="M82" s="83">
        <f t="shared" si="12"/>
        <v>1900000</v>
      </c>
      <c r="N82" s="83">
        <f t="shared" si="12"/>
        <v>2000000</v>
      </c>
      <c r="O82" s="83">
        <f t="shared" si="12"/>
        <v>2100000</v>
      </c>
      <c r="P82" s="83">
        <f t="shared" si="12"/>
        <v>2200000</v>
      </c>
      <c r="Q82" s="83">
        <f t="shared" si="12"/>
        <v>2300000</v>
      </c>
      <c r="R82" s="81">
        <f t="shared" si="13"/>
        <v>1000</v>
      </c>
      <c r="S82" s="82">
        <f t="shared" si="11"/>
        <v>25</v>
      </c>
    </row>
    <row r="83" spans="3:20" ht="14.25" customHeight="1">
      <c r="C83" s="84"/>
      <c r="D83" s="84"/>
      <c r="E83" s="84"/>
      <c r="F83" s="84"/>
      <c r="G83" s="84"/>
      <c r="H83" s="84"/>
      <c r="I83" s="84"/>
      <c r="J83" s="84"/>
      <c r="K83" s="84"/>
      <c r="L83" s="84"/>
      <c r="M83" s="84"/>
      <c r="N83" s="84"/>
      <c r="O83" s="84"/>
      <c r="P83" s="84"/>
      <c r="Q83" s="84"/>
      <c r="S83" s="85">
        <v>25000</v>
      </c>
      <c r="T83" s="29" t="s">
        <v>74</v>
      </c>
    </row>
    <row r="85" spans="3:20" ht="15" customHeight="1">
      <c r="C85" s="2" t="s">
        <v>75</v>
      </c>
      <c r="I85" s="86" t="s">
        <v>76</v>
      </c>
      <c r="J85" s="86"/>
      <c r="K85" s="86"/>
      <c r="L85" s="87" t="s">
        <v>77</v>
      </c>
      <c r="M85" s="87"/>
    </row>
    <row r="86" spans="3:20">
      <c r="C86" s="88" t="s">
        <v>78</v>
      </c>
      <c r="D86" s="3">
        <v>20</v>
      </c>
      <c r="E86" s="2" t="s">
        <v>79</v>
      </c>
      <c r="F86" s="29" t="s">
        <v>80</v>
      </c>
      <c r="I86" s="89"/>
      <c r="J86" s="89"/>
      <c r="K86" s="89"/>
      <c r="L86" s="90"/>
      <c r="M86" s="90"/>
    </row>
    <row r="87" spans="3:20">
      <c r="C87" s="88" t="s">
        <v>81</v>
      </c>
      <c r="D87" s="3">
        <v>1100</v>
      </c>
      <c r="E87" s="2" t="s">
        <v>82</v>
      </c>
      <c r="F87" s="29" t="s">
        <v>83</v>
      </c>
      <c r="I87" s="91" t="s">
        <v>84</v>
      </c>
      <c r="J87" s="91"/>
      <c r="K87" s="91"/>
      <c r="L87" s="49"/>
      <c r="M87" s="91" t="s">
        <v>85</v>
      </c>
    </row>
    <row r="88" spans="3:20">
      <c r="C88" s="88" t="s">
        <v>86</v>
      </c>
      <c r="D88" s="3">
        <v>2100</v>
      </c>
      <c r="E88" s="2" t="s">
        <v>82</v>
      </c>
      <c r="F88" s="29" t="s">
        <v>87</v>
      </c>
      <c r="I88" s="91" t="s">
        <v>88</v>
      </c>
      <c r="J88" s="91"/>
      <c r="K88" s="91"/>
      <c r="L88" s="49"/>
      <c r="M88" s="91" t="s">
        <v>89</v>
      </c>
    </row>
    <row r="89" spans="3:20" ht="14.4">
      <c r="C89" s="4" t="s">
        <v>90</v>
      </c>
      <c r="I89" s="91" t="s">
        <v>91</v>
      </c>
      <c r="J89" s="91"/>
      <c r="K89" s="91"/>
      <c r="L89" s="49"/>
      <c r="M89" s="91" t="s">
        <v>92</v>
      </c>
    </row>
    <row r="90" spans="3:20" ht="14.4">
      <c r="C90" s="29" t="str">
        <f>CONCATENATE("fDim  =",C88," / ",C87)</f>
        <v>fDim  = Betriebsstunden annahme /  Betriebsstunden gemessen</v>
      </c>
      <c r="I90" s="91" t="s">
        <v>93</v>
      </c>
      <c r="J90" s="91"/>
      <c r="K90" s="91"/>
      <c r="L90" s="49"/>
      <c r="M90" s="91" t="s">
        <v>94</v>
      </c>
    </row>
    <row r="91" spans="3:20">
      <c r="C91" s="29" t="str">
        <f>CONCATENATE("fDim  =",D87," h/ a / ",D88," h/ a =",ROUND(D87/D88,2))</f>
        <v>fDim  =1100 h/ a / 2100 h/ a =0,52</v>
      </c>
    </row>
    <row r="93" spans="3:20">
      <c r="C93" s="29" t="str">
        <f>CONCATENATE("Ptot = ",C86," / fDim = kW")</f>
        <v>Ptot = Nennleistung / fDim = kW</v>
      </c>
    </row>
    <row r="94" spans="3:20">
      <c r="C94" s="29" t="str">
        <f>CONCATENATE("Ptot = ",D86," / ",ROUND(D87/D88,2)," = ",ROUND(D86/(D87/D88),1)," kW")</f>
        <v>Ptot = 20 / 0,52 = 38,2 kW</v>
      </c>
    </row>
    <row r="95" spans="3:20">
      <c r="C95" s="29"/>
    </row>
    <row r="96" spans="3:20">
      <c r="C96" s="92" t="s">
        <v>95</v>
      </c>
      <c r="D96" s="92"/>
      <c r="E96" s="92"/>
      <c r="F96" s="92"/>
      <c r="G96" s="92"/>
      <c r="H96" s="92"/>
      <c r="I96" s="92"/>
      <c r="J96" s="92"/>
      <c r="K96" s="92"/>
      <c r="L96" s="92"/>
      <c r="M96" s="92"/>
    </row>
    <row r="97" spans="2:20" ht="93.6" customHeight="1">
      <c r="C97" s="93" t="s">
        <v>96</v>
      </c>
      <c r="D97" s="93"/>
      <c r="E97" s="93"/>
      <c r="F97" s="93"/>
      <c r="G97" s="93"/>
      <c r="H97" s="93"/>
      <c r="I97" s="93"/>
      <c r="J97" s="93"/>
      <c r="K97" s="93"/>
      <c r="L97" s="93"/>
      <c r="M97" s="93"/>
    </row>
    <row r="98" spans="2:20" ht="200.25" customHeight="1">
      <c r="C98" s="93" t="s">
        <v>97</v>
      </c>
      <c r="D98" s="93"/>
      <c r="E98" s="93"/>
      <c r="F98" s="93"/>
      <c r="G98" s="93"/>
      <c r="H98" s="93"/>
      <c r="I98" s="93"/>
      <c r="J98" s="93"/>
      <c r="K98" s="93"/>
      <c r="L98" s="93"/>
      <c r="M98" s="93"/>
    </row>
    <row r="102" spans="2:20">
      <c r="B102" s="94" t="s">
        <v>98</v>
      </c>
      <c r="D102" s="15"/>
      <c r="E102" s="15"/>
      <c r="F102" s="15"/>
      <c r="G102" s="15"/>
      <c r="H102" s="15"/>
      <c r="I102" s="15"/>
      <c r="K102" s="29" t="s">
        <v>99</v>
      </c>
    </row>
    <row r="103" spans="2:20" ht="12.6" thickBot="1">
      <c r="B103" s="94"/>
      <c r="D103" s="15"/>
      <c r="E103" s="15"/>
      <c r="F103" s="15"/>
      <c r="G103" s="15"/>
      <c r="H103" s="15"/>
      <c r="I103" s="15"/>
      <c r="K103" s="29"/>
    </row>
    <row r="104" spans="2:20">
      <c r="B104" s="4" t="s">
        <v>100</v>
      </c>
      <c r="G104" s="3">
        <v>20000</v>
      </c>
      <c r="H104" s="95">
        <v>9</v>
      </c>
      <c r="I104" s="96"/>
      <c r="K104" s="97" t="s">
        <v>101</v>
      </c>
      <c r="L104" s="98" t="s">
        <v>102</v>
      </c>
      <c r="M104" s="99" t="s">
        <v>103</v>
      </c>
      <c r="N104" s="100"/>
      <c r="O104" s="99" t="s">
        <v>102</v>
      </c>
      <c r="P104" s="100"/>
      <c r="Q104" s="99" t="s">
        <v>104</v>
      </c>
      <c r="R104" s="100"/>
      <c r="S104" s="101" t="s">
        <v>104</v>
      </c>
    </row>
    <row r="105" spans="2:20" ht="14.4">
      <c r="B105" s="29" t="s">
        <v>105</v>
      </c>
      <c r="G105" s="102" t="s">
        <v>106</v>
      </c>
      <c r="H105" s="95"/>
      <c r="I105" s="96"/>
      <c r="K105" s="103">
        <v>43983</v>
      </c>
      <c r="L105" s="104">
        <v>30</v>
      </c>
      <c r="M105" s="105">
        <v>45.506624463993049</v>
      </c>
      <c r="N105" s="106"/>
      <c r="O105" s="105">
        <v>5.8179619886021587</v>
      </c>
      <c r="P105" s="106"/>
      <c r="Q105" s="107">
        <v>17.762003884871817</v>
      </c>
      <c r="R105" s="108"/>
      <c r="S105" s="109">
        <v>13.178253389564237</v>
      </c>
      <c r="T105" s="110"/>
    </row>
    <row r="106" spans="2:20">
      <c r="B106" s="4" t="s">
        <v>107</v>
      </c>
      <c r="D106" s="15"/>
      <c r="E106" s="15"/>
      <c r="F106" s="15"/>
      <c r="G106" s="3">
        <v>150</v>
      </c>
      <c r="H106" s="96"/>
      <c r="I106" s="96"/>
      <c r="K106" s="103">
        <v>44013</v>
      </c>
      <c r="L106" s="104">
        <v>31</v>
      </c>
      <c r="M106" s="111">
        <v>63.620205319479403</v>
      </c>
      <c r="N106" s="112"/>
      <c r="O106" s="111">
        <v>8.7086090811177002</v>
      </c>
      <c r="P106" s="112"/>
      <c r="Q106" s="113">
        <v>16.352839998771362</v>
      </c>
      <c r="R106" s="114"/>
      <c r="S106" s="115">
        <v>13.694561814994902</v>
      </c>
      <c r="T106" s="110"/>
    </row>
    <row r="107" spans="2:20">
      <c r="B107" s="4" t="s">
        <v>108</v>
      </c>
      <c r="D107" s="15"/>
      <c r="E107" s="15"/>
      <c r="F107" s="15"/>
      <c r="G107" s="3">
        <v>2</v>
      </c>
      <c r="H107" s="96"/>
      <c r="I107" s="96"/>
      <c r="K107" s="103">
        <v>44044</v>
      </c>
      <c r="L107" s="104">
        <v>31</v>
      </c>
      <c r="M107" s="111">
        <v>3.3912622256290255</v>
      </c>
      <c r="N107" s="112"/>
      <c r="O107" s="111">
        <v>0.50885702323995274</v>
      </c>
      <c r="P107" s="112"/>
      <c r="Q107" s="113">
        <v>20.320282068648279</v>
      </c>
      <c r="R107" s="114"/>
      <c r="S107" s="115">
        <v>14.335530275210788</v>
      </c>
      <c r="T107" s="110"/>
    </row>
    <row r="108" spans="2:20" ht="14.4">
      <c r="B108" s="4" t="s">
        <v>109</v>
      </c>
      <c r="D108" s="15"/>
      <c r="E108" s="15"/>
      <c r="F108" s="15"/>
      <c r="G108" s="116">
        <v>30</v>
      </c>
      <c r="H108" s="96" t="s">
        <v>110</v>
      </c>
      <c r="I108" s="96"/>
      <c r="K108" s="103">
        <v>44075</v>
      </c>
      <c r="L108" s="104">
        <v>30</v>
      </c>
      <c r="M108" s="111">
        <v>141.18934064308584</v>
      </c>
      <c r="N108" s="112"/>
      <c r="O108" s="111">
        <v>18.143541289833003</v>
      </c>
      <c r="P108" s="112"/>
      <c r="Q108" s="113">
        <v>14.683874466368708</v>
      </c>
      <c r="R108" s="114"/>
      <c r="S108" s="115">
        <v>13.218203801139785</v>
      </c>
      <c r="T108" s="110"/>
    </row>
    <row r="109" spans="2:20">
      <c r="B109" s="4" t="s">
        <v>111</v>
      </c>
      <c r="C109" s="94"/>
      <c r="D109" s="15"/>
      <c r="E109" s="15"/>
      <c r="G109" s="117">
        <f>M118</f>
        <v>3804.2795875574293</v>
      </c>
      <c r="H109" s="118" t="s">
        <v>112</v>
      </c>
      <c r="I109" s="118"/>
      <c r="J109" s="119"/>
      <c r="K109" s="103">
        <v>44105</v>
      </c>
      <c r="L109" s="104">
        <v>31</v>
      </c>
      <c r="M109" s="111">
        <v>298.70968796609418</v>
      </c>
      <c r="N109" s="112"/>
      <c r="O109" s="111">
        <v>29.618209930724412</v>
      </c>
      <c r="P109" s="112"/>
      <c r="Q109" s="113">
        <v>11.121929502235142</v>
      </c>
      <c r="R109" s="114"/>
      <c r="S109" s="115">
        <v>10.914660991843803</v>
      </c>
      <c r="T109" s="110"/>
    </row>
    <row r="110" spans="2:20">
      <c r="B110" s="4" t="s">
        <v>113</v>
      </c>
      <c r="C110" s="94"/>
      <c r="D110" s="15"/>
      <c r="E110" s="15"/>
      <c r="G110" s="3">
        <v>15</v>
      </c>
      <c r="H110" s="118"/>
      <c r="I110" s="118"/>
      <c r="J110" s="119"/>
      <c r="K110" s="103">
        <v>44136</v>
      </c>
      <c r="L110" s="104">
        <v>30</v>
      </c>
      <c r="M110" s="111">
        <v>396.66404443518093</v>
      </c>
      <c r="N110" s="112"/>
      <c r="O110" s="111">
        <v>29</v>
      </c>
      <c r="P110" s="112"/>
      <c r="Q110" s="113">
        <v>7.6219295022351412</v>
      </c>
      <c r="R110" s="114"/>
      <c r="S110" s="115">
        <v>7.3219295022351414</v>
      </c>
      <c r="T110" s="110"/>
    </row>
    <row r="111" spans="2:20">
      <c r="B111" s="4" t="s">
        <v>114</v>
      </c>
      <c r="C111" s="94"/>
      <c r="D111" s="15"/>
      <c r="E111" s="15"/>
      <c r="G111" s="3">
        <v>6.9</v>
      </c>
      <c r="H111" s="118"/>
      <c r="I111" s="118"/>
      <c r="J111" s="119"/>
      <c r="K111" s="103">
        <v>44166</v>
      </c>
      <c r="L111" s="104">
        <v>31</v>
      </c>
      <c r="M111" s="111">
        <v>521.98172267186862</v>
      </c>
      <c r="N111" s="112"/>
      <c r="O111" s="111">
        <v>31</v>
      </c>
      <c r="P111" s="112"/>
      <c r="Q111" s="113">
        <v>4.161879913810691</v>
      </c>
      <c r="R111" s="114"/>
      <c r="S111" s="115">
        <v>4.161879913810691</v>
      </c>
      <c r="T111" s="110"/>
    </row>
    <row r="112" spans="2:20">
      <c r="H112" s="96"/>
      <c r="I112" s="96"/>
      <c r="K112" s="103">
        <v>44197</v>
      </c>
      <c r="L112" s="104">
        <v>31</v>
      </c>
      <c r="M112" s="111">
        <v>595.42349727924579</v>
      </c>
      <c r="N112" s="112"/>
      <c r="O112" s="111">
        <v>31</v>
      </c>
      <c r="P112" s="112"/>
      <c r="Q112" s="113">
        <v>1.7927904103469114</v>
      </c>
      <c r="R112" s="114"/>
      <c r="S112" s="115">
        <v>1.7927904103469114</v>
      </c>
      <c r="T112" s="110"/>
    </row>
    <row r="113" spans="2:20">
      <c r="B113" s="4" t="s">
        <v>115</v>
      </c>
      <c r="C113" s="94"/>
      <c r="D113" s="15"/>
      <c r="E113" s="15"/>
      <c r="G113" s="3">
        <v>-16</v>
      </c>
      <c r="H113" s="96" t="s">
        <v>116</v>
      </c>
      <c r="I113" s="120" t="s">
        <v>117</v>
      </c>
      <c r="K113" s="103"/>
      <c r="L113" s="104"/>
      <c r="M113" s="121"/>
      <c r="N113" s="122"/>
      <c r="O113" s="121"/>
      <c r="P113" s="122"/>
      <c r="Q113" s="123"/>
      <c r="R113" s="124"/>
      <c r="S113" s="115"/>
      <c r="T113" s="110"/>
    </row>
    <row r="114" spans="2:20" ht="14.4">
      <c r="B114" s="4" t="s">
        <v>118</v>
      </c>
      <c r="C114" s="94"/>
      <c r="D114" s="15"/>
      <c r="E114" s="15"/>
      <c r="F114" s="15"/>
      <c r="G114" s="102" t="s">
        <v>119</v>
      </c>
      <c r="H114" s="95"/>
      <c r="I114" s="95"/>
      <c r="K114" s="103">
        <v>44228</v>
      </c>
      <c r="L114" s="104">
        <v>28</v>
      </c>
      <c r="M114" s="111">
        <v>521.11725683586576</v>
      </c>
      <c r="N114" s="112"/>
      <c r="O114" s="111">
        <v>27.508857023239955</v>
      </c>
      <c r="P114" s="112"/>
      <c r="Q114" s="113">
        <v>2.3019542964473669</v>
      </c>
      <c r="R114" s="114"/>
      <c r="S114" s="115">
        <v>2.056382808067343</v>
      </c>
      <c r="T114" s="110"/>
    </row>
    <row r="115" spans="2:20" ht="14.4">
      <c r="B115" s="4" t="s">
        <v>120</v>
      </c>
      <c r="G115" s="102" t="s">
        <v>121</v>
      </c>
      <c r="H115" s="95"/>
      <c r="I115" s="95"/>
      <c r="K115" s="103">
        <v>44256</v>
      </c>
      <c r="L115" s="104">
        <v>31</v>
      </c>
      <c r="M115" s="111">
        <v>479.76527188662288</v>
      </c>
      <c r="N115" s="112"/>
      <c r="O115" s="111">
        <v>31</v>
      </c>
      <c r="P115" s="112"/>
      <c r="Q115" s="113">
        <v>5.5237009068831311</v>
      </c>
      <c r="R115" s="114"/>
      <c r="S115" s="115">
        <v>5.5237009068831311</v>
      </c>
      <c r="T115" s="110"/>
    </row>
    <row r="116" spans="2:20">
      <c r="B116" s="4" t="s">
        <v>122</v>
      </c>
      <c r="G116" s="2" cm="1">
        <f t="array" ref="G116">INDEX(N193:Q197,MATCH(G114&amp;G115,N193:N197&amp;O193:O197,0),4)</f>
        <v>0.6</v>
      </c>
      <c r="H116" s="95"/>
      <c r="I116" s="95"/>
      <c r="K116" s="103">
        <v>44287</v>
      </c>
      <c r="L116" s="104">
        <v>30</v>
      </c>
      <c r="M116" s="111">
        <v>435.81554386322591</v>
      </c>
      <c r="N116" s="112"/>
      <c r="O116" s="111">
        <v>30</v>
      </c>
      <c r="P116" s="112"/>
      <c r="Q116" s="113">
        <v>6.4728152045591365</v>
      </c>
      <c r="R116" s="114"/>
      <c r="S116" s="115">
        <v>6.4728152045591365</v>
      </c>
      <c r="T116" s="110"/>
    </row>
    <row r="117" spans="2:20" ht="14.4">
      <c r="B117" s="4" t="s">
        <v>123</v>
      </c>
      <c r="G117" s="125">
        <f>G116</f>
        <v>0.6</v>
      </c>
      <c r="H117" s="95"/>
      <c r="I117" s="95"/>
      <c r="K117" s="103">
        <v>44317</v>
      </c>
      <c r="L117" s="104">
        <v>31</v>
      </c>
      <c r="M117" s="126">
        <v>301.09512996713806</v>
      </c>
      <c r="N117" s="127"/>
      <c r="O117" s="126">
        <v>27.508857023239955</v>
      </c>
      <c r="P117" s="127"/>
      <c r="Q117" s="128">
        <v>10.932864792983587</v>
      </c>
      <c r="R117" s="129"/>
      <c r="S117" s="130">
        <v>10.054611403419353</v>
      </c>
      <c r="T117" s="110"/>
    </row>
    <row r="118" spans="2:20" ht="14.7" thickBot="1">
      <c r="B118" s="131" t="s">
        <v>124</v>
      </c>
      <c r="G118" s="102" t="s">
        <v>125</v>
      </c>
      <c r="H118" s="95"/>
      <c r="I118" s="95"/>
      <c r="K118" s="132"/>
      <c r="L118" s="133">
        <v>365</v>
      </c>
      <c r="M118" s="134">
        <v>3804.2795875574293</v>
      </c>
      <c r="N118" s="135"/>
      <c r="O118" s="134">
        <v>269.81489335999714</v>
      </c>
      <c r="P118" s="135"/>
      <c r="Q118" s="136">
        <v>9.9207387456801062</v>
      </c>
      <c r="R118" s="137"/>
      <c r="S118" s="138">
        <v>6.9004092020909411</v>
      </c>
      <c r="T118" s="110"/>
    </row>
    <row r="119" spans="2:20" ht="14.4">
      <c r="B119" s="131" t="s">
        <v>126</v>
      </c>
      <c r="G119" s="102" t="s">
        <v>127</v>
      </c>
      <c r="H119" s="95"/>
      <c r="I119" s="95"/>
    </row>
    <row r="120" spans="2:20">
      <c r="B120" s="4" t="s">
        <v>128</v>
      </c>
      <c r="G120" s="2">
        <f t="array" ref="G120">INDEX(P166:R174,MATCH(G119&amp;G118,P166:P174&amp;Q166:Q174,0),3)</f>
        <v>0.78</v>
      </c>
      <c r="H120" s="95"/>
      <c r="I120" s="95"/>
    </row>
    <row r="121" spans="2:20">
      <c r="B121" s="29" t="s">
        <v>129</v>
      </c>
      <c r="G121" s="139" t="str">
        <f>VLOOKUP(G105,P179:Q188,2,FALSE)</f>
        <v>1,11</v>
      </c>
      <c r="H121" s="95">
        <v>8</v>
      </c>
      <c r="I121" s="95"/>
    </row>
    <row r="122" spans="2:20">
      <c r="B122" s="4" t="s">
        <v>130</v>
      </c>
      <c r="G122" s="2">
        <f>ROUND(G120/G121,3)</f>
        <v>0.70299999999999996</v>
      </c>
      <c r="H122" s="95"/>
      <c r="I122" s="95"/>
    </row>
    <row r="123" spans="2:20">
      <c r="B123" s="4" t="s">
        <v>131</v>
      </c>
      <c r="G123" s="140">
        <f>G104/G122</f>
        <v>28449.50213371266</v>
      </c>
      <c r="H123" s="95">
        <v>5</v>
      </c>
      <c r="I123" s="95"/>
    </row>
    <row r="124" spans="2:20" ht="12.3" customHeight="1">
      <c r="B124" s="4" t="s">
        <v>132</v>
      </c>
      <c r="G124" s="141">
        <f>(16000*G106)/1000</f>
        <v>2400</v>
      </c>
      <c r="H124" s="142" t="str">
        <f>CONCATENATE("Hinweis nach GEG/ENEV wären es ca 12,5 kW je m², also ca. ",G106*12.5," kWh")</f>
        <v>Hinweis nach GEG/ENEV wären es ca 12,5 kW je m², also ca. 1875 kWh</v>
      </c>
      <c r="I124" s="142"/>
      <c r="J124" s="142"/>
    </row>
    <row r="125" spans="2:20">
      <c r="B125" s="4" t="s">
        <v>133</v>
      </c>
      <c r="G125" s="141">
        <f>IF(G117&gt;0,(14900*G107*G108*G117)/1000,(14900*G107*G108*G116)/1000)</f>
        <v>536.4</v>
      </c>
      <c r="H125" s="142"/>
      <c r="I125" s="142"/>
      <c r="J125" s="142"/>
    </row>
    <row r="126" spans="2:20">
      <c r="B126" s="4" t="s">
        <v>134</v>
      </c>
      <c r="G126" s="141">
        <f>MIN(G124:G125)</f>
        <v>536.4</v>
      </c>
      <c r="H126" s="2">
        <f>MAX(G124:G125)</f>
        <v>2400</v>
      </c>
    </row>
    <row r="127" spans="2:20">
      <c r="B127" s="4" t="s">
        <v>135</v>
      </c>
      <c r="G127" s="141">
        <f>ROUND((G109*24)/(G110-G113),0)</f>
        <v>2945</v>
      </c>
    </row>
    <row r="128" spans="2:20">
      <c r="B128" s="4" t="s">
        <v>136</v>
      </c>
      <c r="G128" s="141">
        <f>ROUND(G130*G131,0)</f>
        <v>2286</v>
      </c>
    </row>
    <row r="129" spans="2:10">
      <c r="B129" s="4" t="s">
        <v>137</v>
      </c>
      <c r="G129" s="141">
        <f>MIN(G127:G128)</f>
        <v>2286</v>
      </c>
      <c r="H129" s="2">
        <f>MAX(G127:G128)</f>
        <v>2945</v>
      </c>
      <c r="I129" s="2">
        <f>H129</f>
        <v>2945</v>
      </c>
    </row>
    <row r="130" spans="2:10">
      <c r="B130" s="4" t="s">
        <v>138</v>
      </c>
      <c r="G130" s="141">
        <v>8760</v>
      </c>
    </row>
    <row r="131" spans="2:10">
      <c r="B131" s="4" t="s">
        <v>139</v>
      </c>
      <c r="G131" s="141">
        <f>ROUND((G110-G111)/(G110-G113),3)</f>
        <v>0.26100000000000001</v>
      </c>
    </row>
    <row r="132" spans="2:10">
      <c r="B132" s="4"/>
      <c r="G132" s="141"/>
    </row>
    <row r="133" spans="2:10">
      <c r="G133" s="143" t="s">
        <v>140</v>
      </c>
      <c r="H133" s="144"/>
      <c r="I133" s="143" t="s">
        <v>141</v>
      </c>
      <c r="J133" s="144"/>
    </row>
    <row r="134" spans="2:10">
      <c r="B134" s="4"/>
      <c r="G134" s="145" t="s">
        <v>142</v>
      </c>
      <c r="H134" s="146" t="s">
        <v>143</v>
      </c>
      <c r="I134" s="48" t="s">
        <v>144</v>
      </c>
      <c r="J134" s="147" t="s">
        <v>143</v>
      </c>
    </row>
    <row r="135" spans="2:10">
      <c r="B135" s="4" t="s">
        <v>145</v>
      </c>
      <c r="G135" s="148">
        <f>(G123-G126)/G129</f>
        <v>12.210455876514724</v>
      </c>
      <c r="H135" s="149">
        <f>(G123-H126)/MAX(G127:G128)</f>
        <v>8.845331794129935</v>
      </c>
      <c r="I135" s="148">
        <f>(G123-0)/MIN(G127:G128)</f>
        <v>12.445101545806063</v>
      </c>
      <c r="J135" s="149">
        <f>(G123-0)/MAX(G127:G128)</f>
        <v>9.6602723713795111</v>
      </c>
    </row>
    <row r="136" spans="2:10">
      <c r="B136" s="4" t="s">
        <v>146</v>
      </c>
      <c r="G136" s="150">
        <f>(G135/G106)*1000</f>
        <v>81.403039176764821</v>
      </c>
      <c r="H136" s="151">
        <f>(H135/G106)*1000</f>
        <v>58.968878627532902</v>
      </c>
      <c r="I136" s="150">
        <f>(I135/G106)*1000</f>
        <v>82.967343638707092</v>
      </c>
      <c r="J136" s="151">
        <f>(J135/G106)*1000</f>
        <v>64.401815809196734</v>
      </c>
    </row>
    <row r="137" spans="2:10">
      <c r="J137" s="88" t="s">
        <v>147</v>
      </c>
    </row>
    <row r="144" spans="2:10">
      <c r="D144" s="152"/>
      <c r="E144" s="15"/>
      <c r="F144" s="15"/>
      <c r="G144" s="15"/>
      <c r="H144" s="15"/>
      <c r="I144" s="15"/>
    </row>
    <row r="145" spans="1:9">
      <c r="D145" s="152"/>
      <c r="E145" s="15"/>
      <c r="F145" s="15"/>
      <c r="G145" s="15"/>
      <c r="H145" s="15"/>
      <c r="I145" s="15"/>
    </row>
    <row r="146" spans="1:9">
      <c r="D146" s="152"/>
      <c r="E146" s="15"/>
      <c r="F146" s="15"/>
      <c r="G146" s="15"/>
      <c r="H146" s="15"/>
      <c r="I146" s="15"/>
    </row>
    <row r="147" spans="1:9">
      <c r="D147" s="152"/>
      <c r="E147" s="15"/>
      <c r="F147" s="15"/>
      <c r="G147" s="15"/>
      <c r="H147" s="15"/>
      <c r="I147" s="15"/>
    </row>
    <row r="148" spans="1:9">
      <c r="D148" s="152"/>
      <c r="E148" s="15"/>
      <c r="F148" s="15"/>
      <c r="G148" s="15"/>
      <c r="H148" s="15"/>
      <c r="I148" s="15"/>
    </row>
    <row r="149" spans="1:9">
      <c r="C149" s="4"/>
      <c r="D149" s="152"/>
      <c r="E149" s="15"/>
      <c r="F149" s="15"/>
      <c r="G149" s="15"/>
      <c r="H149" s="15"/>
      <c r="I149" s="15"/>
    </row>
    <row r="150" spans="1:9">
      <c r="C150" s="4"/>
      <c r="D150" s="152"/>
      <c r="E150" s="15"/>
      <c r="F150" s="15"/>
      <c r="G150" s="15"/>
      <c r="H150" s="15"/>
      <c r="I150" s="15"/>
    </row>
    <row r="151" spans="1:9">
      <c r="C151" s="4"/>
      <c r="D151" s="152"/>
      <c r="E151" s="15"/>
      <c r="F151" s="15"/>
      <c r="G151" s="15"/>
      <c r="H151" s="15"/>
      <c r="I151" s="15"/>
    </row>
    <row r="152" spans="1:9">
      <c r="D152" s="152"/>
      <c r="E152" s="15"/>
      <c r="F152" s="15"/>
      <c r="G152" s="15"/>
      <c r="H152" s="15"/>
      <c r="I152" s="15"/>
    </row>
    <row r="153" spans="1:9">
      <c r="D153" s="152"/>
      <c r="E153" s="15"/>
      <c r="F153" s="15"/>
      <c r="G153" s="15"/>
    </row>
    <row r="154" spans="1:9">
      <c r="A154" s="15"/>
      <c r="B154" s="15"/>
      <c r="C154" s="15"/>
      <c r="D154" s="15"/>
      <c r="E154" s="15"/>
      <c r="F154" s="15"/>
      <c r="G154" s="15"/>
    </row>
    <row r="155" spans="1:9" ht="14.4" customHeight="1">
      <c r="D155" s="152"/>
      <c r="E155" s="15"/>
      <c r="F155" s="15"/>
      <c r="G155" s="15"/>
    </row>
    <row r="156" spans="1:9" ht="14.4" customHeight="1">
      <c r="D156" s="152"/>
      <c r="E156" s="15"/>
      <c r="F156" s="15"/>
      <c r="G156" s="15"/>
    </row>
    <row r="157" spans="1:9" ht="14.4" customHeight="1">
      <c r="D157" s="152"/>
      <c r="E157" s="15"/>
      <c r="F157" s="15"/>
      <c r="G157" s="15"/>
    </row>
    <row r="158" spans="1:9" ht="14.4" customHeight="1">
      <c r="B158" s="152"/>
      <c r="C158" s="152"/>
      <c r="D158" s="152"/>
      <c r="E158" s="15"/>
      <c r="F158" s="15"/>
      <c r="G158" s="15"/>
    </row>
    <row r="159" spans="1:9" ht="14.4" customHeight="1">
      <c r="D159" s="152"/>
      <c r="E159" s="15"/>
      <c r="F159" s="15"/>
      <c r="G159" s="15"/>
    </row>
    <row r="160" spans="1:9" ht="14.4" customHeight="1">
      <c r="D160" s="152"/>
      <c r="E160" s="15"/>
      <c r="F160" s="15"/>
      <c r="G160" s="15"/>
    </row>
    <row r="161" spans="3:18" ht="14.4" customHeight="1">
      <c r="D161" s="152"/>
      <c r="E161" s="15"/>
      <c r="F161" s="15"/>
      <c r="G161" s="15"/>
    </row>
    <row r="162" spans="3:18" ht="14.4" customHeight="1">
      <c r="D162" s="152"/>
      <c r="E162" s="15"/>
      <c r="F162" s="15"/>
      <c r="G162" s="15"/>
    </row>
    <row r="163" spans="3:18" ht="14.4" customHeight="1">
      <c r="D163" s="152"/>
      <c r="E163" s="15"/>
      <c r="F163" s="15"/>
      <c r="G163" s="15"/>
      <c r="P163" s="4" t="s">
        <v>148</v>
      </c>
    </row>
    <row r="164" spans="3:18" ht="12.3" customHeight="1">
      <c r="D164" s="153"/>
      <c r="E164" s="15"/>
      <c r="F164" s="15"/>
      <c r="G164" s="15"/>
      <c r="Q164" s="154" t="s">
        <v>149</v>
      </c>
      <c r="R164" s="155" t="s">
        <v>150</v>
      </c>
    </row>
    <row r="165" spans="3:18">
      <c r="D165" s="4"/>
      <c r="E165" s="4"/>
      <c r="F165" s="4"/>
      <c r="Q165" s="156"/>
      <c r="R165" s="157" t="s">
        <v>127</v>
      </c>
    </row>
    <row r="166" spans="3:18">
      <c r="D166" s="4"/>
      <c r="E166" s="4"/>
      <c r="F166" s="4"/>
      <c r="P166" s="157" t="s">
        <v>127</v>
      </c>
      <c r="Q166" s="158" t="s">
        <v>21</v>
      </c>
      <c r="R166" s="157">
        <v>0.92</v>
      </c>
    </row>
    <row r="167" spans="3:18">
      <c r="D167" s="4"/>
      <c r="E167" s="4"/>
      <c r="F167" s="4"/>
      <c r="P167" s="157" t="s">
        <v>127</v>
      </c>
      <c r="Q167" s="158" t="s">
        <v>151</v>
      </c>
      <c r="R167" s="157">
        <v>0.87</v>
      </c>
    </row>
    <row r="168" spans="3:18">
      <c r="D168" s="4"/>
      <c r="E168" s="4"/>
      <c r="F168" s="4"/>
      <c r="P168" s="157" t="s">
        <v>127</v>
      </c>
      <c r="Q168" s="159" t="s">
        <v>125</v>
      </c>
      <c r="R168" s="160">
        <v>0.78</v>
      </c>
    </row>
    <row r="169" spans="3:18">
      <c r="D169" s="4"/>
      <c r="E169" s="4"/>
      <c r="F169" s="4"/>
      <c r="P169" s="157" t="s">
        <v>152</v>
      </c>
      <c r="Q169" s="158" t="s">
        <v>21</v>
      </c>
      <c r="R169" s="157">
        <v>0.88</v>
      </c>
    </row>
    <row r="170" spans="3:18">
      <c r="D170" s="4"/>
      <c r="E170" s="4"/>
      <c r="F170" s="4"/>
      <c r="P170" s="157" t="s">
        <v>152</v>
      </c>
      <c r="Q170" s="158" t="s">
        <v>151</v>
      </c>
      <c r="R170" s="157">
        <v>0.83</v>
      </c>
    </row>
    <row r="171" spans="3:18">
      <c r="D171" s="4"/>
      <c r="E171" s="4"/>
      <c r="F171" s="4"/>
      <c r="P171" s="157" t="s">
        <v>152</v>
      </c>
      <c r="Q171" s="159" t="s">
        <v>125</v>
      </c>
      <c r="R171" s="160">
        <v>0.78</v>
      </c>
    </row>
    <row r="172" spans="3:18">
      <c r="C172" s="161"/>
      <c r="D172" s="5"/>
      <c r="E172" s="5"/>
      <c r="F172" s="5"/>
      <c r="G172" s="5"/>
      <c r="P172" s="162" t="s">
        <v>153</v>
      </c>
      <c r="Q172" s="158" t="s">
        <v>21</v>
      </c>
      <c r="R172" s="162">
        <v>0.85</v>
      </c>
    </row>
    <row r="173" spans="3:18">
      <c r="C173" s="29" t="s">
        <v>154</v>
      </c>
      <c r="P173" s="162" t="s">
        <v>153</v>
      </c>
      <c r="Q173" s="158" t="s">
        <v>151</v>
      </c>
      <c r="R173" s="160">
        <v>0.78</v>
      </c>
    </row>
    <row r="174" spans="3:18">
      <c r="C174" s="4" t="s">
        <v>155</v>
      </c>
      <c r="P174" s="162" t="s">
        <v>153</v>
      </c>
      <c r="Q174" s="159" t="s">
        <v>125</v>
      </c>
      <c r="R174" s="160">
        <v>0.78</v>
      </c>
    </row>
    <row r="175" spans="3:18">
      <c r="C175" s="4" t="s">
        <v>156</v>
      </c>
      <c r="G175" s="15"/>
      <c r="H175" s="15"/>
    </row>
    <row r="176" spans="3:18">
      <c r="C176" s="4" t="s">
        <v>157</v>
      </c>
      <c r="D176" s="15"/>
      <c r="E176" s="15"/>
      <c r="F176" s="15"/>
    </row>
    <row r="177" spans="3:18">
      <c r="C177" s="4" t="s">
        <v>158</v>
      </c>
      <c r="P177" s="163" t="s">
        <v>159</v>
      </c>
      <c r="Q177" s="4"/>
      <c r="R177" s="4"/>
    </row>
    <row r="178" spans="3:18" ht="123.9">
      <c r="C178" s="4" t="s">
        <v>160</v>
      </c>
      <c r="P178" s="164" t="s">
        <v>105</v>
      </c>
      <c r="Q178" s="164" t="s">
        <v>161</v>
      </c>
      <c r="R178" s="4"/>
    </row>
    <row r="179" spans="3:18" ht="24.6">
      <c r="C179" s="4" t="s">
        <v>162</v>
      </c>
      <c r="O179" s="165" t="s">
        <v>163</v>
      </c>
      <c r="P179" s="165" t="s">
        <v>164</v>
      </c>
      <c r="Q179" s="165" t="s">
        <v>165</v>
      </c>
    </row>
    <row r="180" spans="3:18" ht="24.6">
      <c r="C180" s="4" t="s">
        <v>166</v>
      </c>
      <c r="O180" s="165" t="s">
        <v>163</v>
      </c>
      <c r="P180" s="165" t="s">
        <v>106</v>
      </c>
      <c r="Q180" s="165" t="s">
        <v>167</v>
      </c>
      <c r="R180" s="4"/>
    </row>
    <row r="181" spans="3:18">
      <c r="C181" s="4" t="s">
        <v>168</v>
      </c>
      <c r="O181" s="165" t="s">
        <v>163</v>
      </c>
      <c r="P181" s="165" t="s">
        <v>169</v>
      </c>
      <c r="Q181" s="165" t="s">
        <v>170</v>
      </c>
      <c r="R181" s="4"/>
    </row>
    <row r="182" spans="3:18">
      <c r="C182" s="4" t="s">
        <v>171</v>
      </c>
      <c r="O182" s="165" t="s">
        <v>163</v>
      </c>
      <c r="P182" s="165" t="s">
        <v>172</v>
      </c>
      <c r="Q182" s="165" t="s">
        <v>173</v>
      </c>
      <c r="R182" s="4"/>
    </row>
    <row r="183" spans="3:18">
      <c r="C183" s="166" t="s">
        <v>174</v>
      </c>
      <c r="D183" s="167" t="s">
        <v>175</v>
      </c>
      <c r="E183" s="168"/>
      <c r="O183" s="165" t="s">
        <v>163</v>
      </c>
      <c r="P183" s="165" t="s">
        <v>176</v>
      </c>
      <c r="Q183" s="165" t="s">
        <v>177</v>
      </c>
      <c r="R183" s="4"/>
    </row>
    <row r="184" spans="3:18" ht="24.6">
      <c r="C184" s="169"/>
      <c r="D184" s="170" t="s">
        <v>119</v>
      </c>
      <c r="E184" s="171" t="s">
        <v>178</v>
      </c>
      <c r="O184" s="165" t="s">
        <v>163</v>
      </c>
      <c r="P184" s="165" t="s">
        <v>179</v>
      </c>
      <c r="Q184" s="165" t="s">
        <v>180</v>
      </c>
      <c r="R184" s="4"/>
    </row>
    <row r="185" spans="3:18" ht="49.2">
      <c r="C185" s="172" t="s">
        <v>121</v>
      </c>
      <c r="D185" s="170" t="s">
        <v>181</v>
      </c>
      <c r="E185" s="171" t="s">
        <v>182</v>
      </c>
      <c r="O185" s="165" t="s">
        <v>183</v>
      </c>
      <c r="P185" s="165" t="s">
        <v>184</v>
      </c>
      <c r="Q185" s="165" t="s">
        <v>185</v>
      </c>
    </row>
    <row r="186" spans="3:18" ht="36.9">
      <c r="C186" s="173" t="s">
        <v>186</v>
      </c>
      <c r="D186" s="167" t="s">
        <v>187</v>
      </c>
      <c r="E186" s="168"/>
      <c r="F186" s="15"/>
      <c r="O186" s="165" t="s">
        <v>183</v>
      </c>
      <c r="P186" s="165" t="s">
        <v>188</v>
      </c>
      <c r="Q186" s="165" t="s">
        <v>185</v>
      </c>
      <c r="R186" s="4"/>
    </row>
    <row r="187" spans="3:18" ht="36.9">
      <c r="O187" s="165" t="s">
        <v>183</v>
      </c>
      <c r="P187" s="165" t="s">
        <v>189</v>
      </c>
      <c r="Q187" s="165" t="s">
        <v>185</v>
      </c>
      <c r="R187" s="4"/>
    </row>
    <row r="188" spans="3:18" ht="36.9">
      <c r="O188" s="165" t="s">
        <v>183</v>
      </c>
      <c r="P188" s="165" t="s">
        <v>190</v>
      </c>
      <c r="Q188" s="165" t="s">
        <v>185</v>
      </c>
      <c r="R188" s="4"/>
    </row>
    <row r="191" spans="3:18">
      <c r="O191" s="4" t="s">
        <v>191</v>
      </c>
      <c r="P191" s="4"/>
      <c r="Q191" s="4"/>
    </row>
    <row r="192" spans="3:18">
      <c r="M192" s="174" t="s">
        <v>174</v>
      </c>
      <c r="N192" s="175"/>
      <c r="O192" s="175"/>
      <c r="P192" s="176" t="s">
        <v>175</v>
      </c>
      <c r="Q192" s="4" t="s">
        <v>192</v>
      </c>
    </row>
    <row r="193" spans="13:17" ht="12.3" customHeight="1">
      <c r="M193" s="175"/>
      <c r="N193" s="175" t="s">
        <v>119</v>
      </c>
      <c r="O193" s="177" t="s">
        <v>121</v>
      </c>
      <c r="P193" s="17" t="s">
        <v>181</v>
      </c>
      <c r="Q193" s="2">
        <v>0.6</v>
      </c>
    </row>
    <row r="194" spans="13:17" ht="12.3" customHeight="1">
      <c r="M194" s="175"/>
      <c r="N194" s="175" t="s">
        <v>119</v>
      </c>
      <c r="O194" s="177" t="s">
        <v>186</v>
      </c>
      <c r="P194" s="175" t="s">
        <v>187</v>
      </c>
      <c r="Q194" s="2">
        <v>0.75</v>
      </c>
    </row>
    <row r="195" spans="13:17">
      <c r="M195" s="175" t="s">
        <v>193</v>
      </c>
      <c r="N195" s="178" t="s">
        <v>194</v>
      </c>
      <c r="O195" s="177" t="s">
        <v>121</v>
      </c>
      <c r="P195" s="178" t="s">
        <v>195</v>
      </c>
      <c r="Q195" s="2">
        <v>0.3</v>
      </c>
    </row>
    <row r="196" spans="13:17">
      <c r="M196" s="175" t="s">
        <v>196</v>
      </c>
      <c r="N196" s="178" t="s">
        <v>197</v>
      </c>
      <c r="O196" s="177" t="s">
        <v>121</v>
      </c>
      <c r="P196" s="175" t="s">
        <v>198</v>
      </c>
      <c r="Q196" s="2">
        <v>0.4</v>
      </c>
    </row>
    <row r="197" spans="13:17">
      <c r="M197" s="175"/>
      <c r="N197" s="178" t="s">
        <v>178</v>
      </c>
      <c r="O197" s="177" t="s">
        <v>186</v>
      </c>
      <c r="P197" s="175" t="s">
        <v>187</v>
      </c>
      <c r="Q197" s="2">
        <v>0.75</v>
      </c>
    </row>
    <row r="199" spans="13:17" ht="12.3" customHeight="1"/>
    <row r="202" spans="13:17" ht="12.3" customHeight="1">
      <c r="Q202" s="179"/>
    </row>
  </sheetData>
  <mergeCells count="58">
    <mergeCell ref="H124:J125"/>
    <mergeCell ref="Q164:Q165"/>
    <mergeCell ref="C183:C184"/>
    <mergeCell ref="D183:E183"/>
    <mergeCell ref="D186:E186"/>
    <mergeCell ref="M117:N117"/>
    <mergeCell ref="O117:P117"/>
    <mergeCell ref="Q117:R117"/>
    <mergeCell ref="M118:N118"/>
    <mergeCell ref="O118:P118"/>
    <mergeCell ref="Q118:R118"/>
    <mergeCell ref="M115:N115"/>
    <mergeCell ref="O115:P115"/>
    <mergeCell ref="Q115:R115"/>
    <mergeCell ref="M116:N116"/>
    <mergeCell ref="O116:P116"/>
    <mergeCell ref="Q116:R116"/>
    <mergeCell ref="M112:N112"/>
    <mergeCell ref="O112:P112"/>
    <mergeCell ref="Q112:R112"/>
    <mergeCell ref="M114:N114"/>
    <mergeCell ref="O114:P114"/>
    <mergeCell ref="Q114:R114"/>
    <mergeCell ref="H109:J111"/>
    <mergeCell ref="M109:N109"/>
    <mergeCell ref="O109:P109"/>
    <mergeCell ref="Q109:R109"/>
    <mergeCell ref="M110:N110"/>
    <mergeCell ref="O110:P110"/>
    <mergeCell ref="Q110:R110"/>
    <mergeCell ref="M111:N111"/>
    <mergeCell ref="O111:P111"/>
    <mergeCell ref="Q111:R111"/>
    <mergeCell ref="M107:N107"/>
    <mergeCell ref="O107:P107"/>
    <mergeCell ref="Q107:R107"/>
    <mergeCell ref="M108:N108"/>
    <mergeCell ref="O108:P108"/>
    <mergeCell ref="Q108:R108"/>
    <mergeCell ref="M105:N105"/>
    <mergeCell ref="O105:P105"/>
    <mergeCell ref="Q105:R105"/>
    <mergeCell ref="M106:N106"/>
    <mergeCell ref="O106:P106"/>
    <mergeCell ref="Q106:R106"/>
    <mergeCell ref="C96:M96"/>
    <mergeCell ref="C97:M97"/>
    <mergeCell ref="C98:M98"/>
    <mergeCell ref="M104:N104"/>
    <mergeCell ref="O104:P104"/>
    <mergeCell ref="Q104:R104"/>
    <mergeCell ref="D2:N2"/>
    <mergeCell ref="S13:Y14"/>
    <mergeCell ref="D49:Q49"/>
    <mergeCell ref="M50:P50"/>
    <mergeCell ref="L51:O51"/>
    <mergeCell ref="I85:K86"/>
    <mergeCell ref="L85:M86"/>
  </mergeCells>
  <conditionalFormatting sqref="G105">
    <cfRule type="expression" dxfId="2" priority="2">
      <formula>$C$16=$AI$19</formula>
    </cfRule>
  </conditionalFormatting>
  <conditionalFormatting sqref="G114:G115">
    <cfRule type="expression" dxfId="1" priority="1">
      <formula>$C$16=$AI$19</formula>
    </cfRule>
  </conditionalFormatting>
  <conditionalFormatting sqref="G118:G119">
    <cfRule type="expression" dxfId="0" priority="3">
      <formula>$C$16=$AI$19</formula>
    </cfRule>
  </conditionalFormatting>
  <conditionalFormatting sqref="S53:S82">
    <cfRule type="colorScale" priority="4">
      <colorScale>
        <cfvo type="num" val="1600"/>
        <cfvo type="num" val="2100"/>
        <cfvo type="num" val="3000"/>
        <color rgb="FFFF0000"/>
        <color rgb="FF00B050"/>
        <color rgb="FFFF0000"/>
      </colorScale>
    </cfRule>
  </conditionalFormatting>
  <dataValidations count="5">
    <dataValidation type="list" allowBlank="1" showInputMessage="1" showErrorMessage="1" sqref="G115" xr:uid="{6F586A3B-55F7-4E37-BE67-9E03035E2991}">
      <formula1>$O$194:$O$195</formula1>
    </dataValidation>
    <dataValidation type="list" allowBlank="1" showInputMessage="1" showErrorMessage="1" sqref="G114" xr:uid="{B93DDD2A-8FB0-4D38-A841-837A951822DE}">
      <formula1>$N$194:$N$195</formula1>
    </dataValidation>
    <dataValidation type="list" allowBlank="1" showInputMessage="1" showErrorMessage="1" sqref="G118" xr:uid="{5BD68A6B-B04B-4705-A0B9-237AE86A4C5A}">
      <formula1>#REF!</formula1>
    </dataValidation>
    <dataValidation type="list" allowBlank="1" showInputMessage="1" showErrorMessage="1" sqref="G105" xr:uid="{E95EDDE7-78CE-44DB-9708-4708593AC706}">
      <formula1>$P$179:$P$188</formula1>
    </dataValidation>
    <dataValidation type="list" allowBlank="1" showInputMessage="1" showErrorMessage="1" sqref="G119" xr:uid="{A419AB9B-95E9-49A8-929C-2FE8532492B6}">
      <formula1>$G$169:$G$171</formula1>
    </dataValidation>
  </dataValidations>
  <hyperlinks>
    <hyperlink ref="I113" r:id="rId1" xr:uid="{B6AEE6BE-2E8A-4B5F-99C2-FDAC41BF531A}"/>
  </hyperlinks>
  <pageMargins left="0.25" right="0.25" top="0.75" bottom="0.75" header="0.3" footer="0.3"/>
  <pageSetup paperSize="9" scale="13"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Heizlast Bestand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 Peters</dc:creator>
  <cp:lastModifiedBy>JP Peters</cp:lastModifiedBy>
  <dcterms:created xsi:type="dcterms:W3CDTF">2023-09-21T09:14:54Z</dcterms:created>
  <dcterms:modified xsi:type="dcterms:W3CDTF">2023-09-21T09:22:56Z</dcterms:modified>
</cp:coreProperties>
</file>