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bu\Dropbox\sonstiges xls\"/>
    </mc:Choice>
  </mc:AlternateContent>
  <bookViews>
    <workbookView xWindow="0" yWindow="0" windowWidth="25125" windowHeight="11475"/>
  </bookViews>
  <sheets>
    <sheet name="CO2 allgemein" sheetId="1" r:id="rId1"/>
    <sheet name="Daten mobil" sheetId="2" r:id="rId2"/>
    <sheet name="Transport pauschal (Diesel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3" l="1"/>
  <c r="G73" i="3"/>
  <c r="G69" i="3"/>
  <c r="G65" i="3"/>
  <c r="D61" i="3"/>
  <c r="E60" i="3"/>
  <c r="D60" i="3"/>
  <c r="G60" i="3" s="1"/>
  <c r="G46" i="3"/>
  <c r="E46" i="3"/>
  <c r="I46" i="3" s="1"/>
  <c r="G44" i="3"/>
  <c r="E44" i="3"/>
  <c r="I44" i="3" s="1"/>
  <c r="G40" i="3"/>
  <c r="I40" i="3" s="1"/>
  <c r="E40" i="3"/>
  <c r="I36" i="3"/>
  <c r="G36" i="3"/>
  <c r="E36" i="3"/>
  <c r="D32" i="3"/>
  <c r="G31" i="3"/>
  <c r="E31" i="3"/>
  <c r="I21" i="3"/>
  <c r="G21" i="3"/>
  <c r="E21" i="3"/>
  <c r="G19" i="3"/>
  <c r="E19" i="3"/>
  <c r="I19" i="3" s="1"/>
  <c r="G15" i="3"/>
  <c r="E15" i="3"/>
  <c r="I15" i="3" s="1"/>
  <c r="G11" i="3"/>
  <c r="E11" i="3"/>
  <c r="I11" i="3" s="1"/>
  <c r="H14" i="2"/>
  <c r="E69" i="3" l="1"/>
  <c r="I69" i="3" s="1"/>
  <c r="E75" i="3"/>
  <c r="I75" i="3" s="1"/>
  <c r="E65" i="3"/>
  <c r="I65" i="3" s="1"/>
  <c r="E73" i="3"/>
  <c r="I73" i="3" s="1"/>
  <c r="BL37" i="1"/>
  <c r="BL36" i="1"/>
  <c r="BL34" i="1"/>
  <c r="BL33" i="1"/>
  <c r="BL35" i="1"/>
  <c r="L34" i="1"/>
  <c r="BK34" i="1"/>
  <c r="BK35" i="1"/>
  <c r="BK36" i="1"/>
  <c r="BK37" i="1"/>
  <c r="BK33" i="1"/>
  <c r="BI35" i="1"/>
  <c r="BH22" i="1"/>
  <c r="BJ34" i="1"/>
  <c r="BJ35" i="1"/>
  <c r="BJ36" i="1"/>
  <c r="BJ37" i="1"/>
  <c r="BJ33" i="1"/>
  <c r="BH36" i="1"/>
  <c r="BI36" i="1" s="1"/>
  <c r="BH37" i="1"/>
  <c r="BH35" i="1"/>
  <c r="BH34" i="1"/>
  <c r="BI34" i="1" s="1"/>
  <c r="BH33" i="1"/>
  <c r="BI33" i="1" s="1"/>
  <c r="BG26" i="1"/>
  <c r="BC26" i="1"/>
  <c r="BH26" i="1" s="1"/>
  <c r="BI26" i="1" s="1"/>
  <c r="BG25" i="1"/>
  <c r="BC25" i="1"/>
  <c r="BH25" i="1" s="1"/>
  <c r="BI25" i="1" s="1"/>
  <c r="BI24" i="1"/>
  <c r="BH24" i="1"/>
  <c r="BG24" i="1"/>
  <c r="BC24" i="1"/>
  <c r="BI23" i="1"/>
  <c r="BH23" i="1"/>
  <c r="BG23" i="1"/>
  <c r="BC23" i="1"/>
  <c r="BG22" i="1"/>
  <c r="BC22" i="1"/>
  <c r="BI21" i="1"/>
  <c r="BH21" i="1"/>
  <c r="BG21" i="1"/>
  <c r="BC21" i="1"/>
  <c r="BI20" i="1"/>
  <c r="BH20" i="1"/>
  <c r="BG20" i="1"/>
  <c r="BC20" i="1"/>
  <c r="BI19" i="1"/>
  <c r="BH19" i="1"/>
  <c r="BG19" i="1"/>
  <c r="BC19" i="1"/>
  <c r="BI18" i="1"/>
  <c r="BH18" i="1"/>
  <c r="BG18" i="1"/>
  <c r="BC18" i="1"/>
  <c r="BI17" i="1"/>
  <c r="BH17" i="1"/>
  <c r="BG17" i="1"/>
  <c r="BC17" i="1"/>
  <c r="BI16" i="1"/>
  <c r="BH16" i="1"/>
  <c r="BG16" i="1"/>
  <c r="BC16" i="1"/>
  <c r="BI15" i="1"/>
  <c r="BH15" i="1"/>
  <c r="BG15" i="1"/>
  <c r="BC15" i="1"/>
  <c r="BI14" i="1"/>
  <c r="BH14" i="1"/>
  <c r="BG14" i="1"/>
  <c r="BC14" i="1"/>
  <c r="BI13" i="1"/>
  <c r="BH13" i="1"/>
  <c r="BG13" i="1"/>
  <c r="BC13" i="1"/>
  <c r="BI12" i="1"/>
  <c r="BH12" i="1"/>
  <c r="BG12" i="1"/>
  <c r="BC12" i="1"/>
  <c r="BI11" i="1"/>
  <c r="BH11" i="1"/>
  <c r="BG11" i="1"/>
  <c r="BC11" i="1"/>
  <c r="BI10" i="1"/>
  <c r="BH10" i="1"/>
  <c r="BG10" i="1"/>
  <c r="BC10" i="1"/>
  <c r="BI9" i="1"/>
  <c r="BH9" i="1"/>
  <c r="BG9" i="1"/>
  <c r="BC9" i="1"/>
  <c r="BI8" i="1"/>
  <c r="BH8" i="1"/>
  <c r="BG8" i="1"/>
  <c r="BC8" i="1"/>
  <c r="BI7" i="1"/>
  <c r="BH7" i="1"/>
  <c r="BG7" i="1"/>
  <c r="BC7" i="1"/>
  <c r="BI6" i="1"/>
  <c r="BH6" i="1"/>
  <c r="BG6" i="1"/>
  <c r="BC6" i="1"/>
  <c r="BG5" i="1"/>
  <c r="BC5" i="1"/>
  <c r="BH5" i="1" s="1"/>
  <c r="BI5" i="1" s="1"/>
  <c r="BI4" i="1"/>
  <c r="BH4" i="1"/>
  <c r="BG4" i="1"/>
  <c r="BC4" i="1"/>
  <c r="BC27" i="1" s="1"/>
  <c r="AW26" i="1"/>
  <c r="AU26" i="1"/>
  <c r="AX26" i="1" s="1"/>
  <c r="AY26" i="1" s="1"/>
  <c r="AW25" i="1"/>
  <c r="AU25" i="1"/>
  <c r="AX25" i="1" s="1"/>
  <c r="AY25" i="1" s="1"/>
  <c r="AW24" i="1"/>
  <c r="AU24" i="1"/>
  <c r="AX24" i="1" s="1"/>
  <c r="AY24" i="1" s="1"/>
  <c r="AY23" i="1"/>
  <c r="AX23" i="1"/>
  <c r="AW23" i="1"/>
  <c r="AU23" i="1"/>
  <c r="AW22" i="1"/>
  <c r="AU22" i="1"/>
  <c r="AX22" i="1" s="1"/>
  <c r="AY22" i="1" s="1"/>
  <c r="AY21" i="1"/>
  <c r="AX21" i="1"/>
  <c r="AW21" i="1"/>
  <c r="AU21" i="1"/>
  <c r="AY20" i="1"/>
  <c r="AX20" i="1"/>
  <c r="AW20" i="1"/>
  <c r="AU20" i="1"/>
  <c r="AY19" i="1"/>
  <c r="AX19" i="1"/>
  <c r="AW19" i="1"/>
  <c r="AU19" i="1"/>
  <c r="AY18" i="1"/>
  <c r="AX18" i="1"/>
  <c r="AW18" i="1"/>
  <c r="AU18" i="1"/>
  <c r="AY17" i="1"/>
  <c r="AX17" i="1"/>
  <c r="AW17" i="1"/>
  <c r="AU17" i="1"/>
  <c r="AY16" i="1"/>
  <c r="AX16" i="1"/>
  <c r="AW16" i="1"/>
  <c r="AU16" i="1"/>
  <c r="AY15" i="1"/>
  <c r="AX15" i="1"/>
  <c r="AW15" i="1"/>
  <c r="AU15" i="1"/>
  <c r="AY14" i="1"/>
  <c r="AX14" i="1"/>
  <c r="AW14" i="1"/>
  <c r="AU14" i="1"/>
  <c r="AY13" i="1"/>
  <c r="AX13" i="1"/>
  <c r="AW13" i="1"/>
  <c r="AU13" i="1"/>
  <c r="AY12" i="1"/>
  <c r="AX12" i="1"/>
  <c r="AW12" i="1"/>
  <c r="AU12" i="1"/>
  <c r="AY11" i="1"/>
  <c r="AX11" i="1"/>
  <c r="AW11" i="1"/>
  <c r="AU11" i="1"/>
  <c r="AY10" i="1"/>
  <c r="AX10" i="1"/>
  <c r="AW10" i="1"/>
  <c r="AU10" i="1"/>
  <c r="AY9" i="1"/>
  <c r="AX9" i="1"/>
  <c r="AW9" i="1"/>
  <c r="AU9" i="1"/>
  <c r="AY8" i="1"/>
  <c r="AX8" i="1"/>
  <c r="AW8" i="1"/>
  <c r="AU8" i="1"/>
  <c r="AY7" i="1"/>
  <c r="AX7" i="1"/>
  <c r="AW7" i="1"/>
  <c r="AU7" i="1"/>
  <c r="AY6" i="1"/>
  <c r="AX6" i="1"/>
  <c r="AW6" i="1"/>
  <c r="AU6" i="1"/>
  <c r="AW5" i="1"/>
  <c r="AU5" i="1"/>
  <c r="AX5" i="1" s="1"/>
  <c r="AY5" i="1" s="1"/>
  <c r="AY4" i="1"/>
  <c r="AX4" i="1"/>
  <c r="AW4" i="1"/>
  <c r="AU4" i="1"/>
  <c r="AO26" i="1"/>
  <c r="AM26" i="1"/>
  <c r="AP26" i="1" s="1"/>
  <c r="AQ26" i="1" s="1"/>
  <c r="AQ25" i="1"/>
  <c r="AP25" i="1"/>
  <c r="AO25" i="1"/>
  <c r="AM25" i="1"/>
  <c r="AP24" i="1"/>
  <c r="AQ24" i="1" s="1"/>
  <c r="AO24" i="1"/>
  <c r="AM24" i="1"/>
  <c r="AQ23" i="1"/>
  <c r="AP23" i="1"/>
  <c r="AO23" i="1"/>
  <c r="AM23" i="1"/>
  <c r="AO22" i="1"/>
  <c r="AM22" i="1"/>
  <c r="AP22" i="1" s="1"/>
  <c r="AQ22" i="1" s="1"/>
  <c r="AQ21" i="1"/>
  <c r="AP21" i="1"/>
  <c r="AO21" i="1"/>
  <c r="AM21" i="1"/>
  <c r="AQ20" i="1"/>
  <c r="AP20" i="1"/>
  <c r="AO20" i="1"/>
  <c r="AM20" i="1"/>
  <c r="AQ19" i="1"/>
  <c r="AP19" i="1"/>
  <c r="AO19" i="1"/>
  <c r="AM19" i="1"/>
  <c r="AQ18" i="1"/>
  <c r="AP18" i="1"/>
  <c r="AO18" i="1"/>
  <c r="AM18" i="1"/>
  <c r="AQ17" i="1"/>
  <c r="AP17" i="1"/>
  <c r="AO17" i="1"/>
  <c r="AM17" i="1"/>
  <c r="AQ16" i="1"/>
  <c r="AP16" i="1"/>
  <c r="AO16" i="1"/>
  <c r="AM16" i="1"/>
  <c r="AQ15" i="1"/>
  <c r="AP15" i="1"/>
  <c r="AO15" i="1"/>
  <c r="AM15" i="1"/>
  <c r="AQ14" i="1"/>
  <c r="AP14" i="1"/>
  <c r="AO14" i="1"/>
  <c r="AM14" i="1"/>
  <c r="AQ13" i="1"/>
  <c r="AP13" i="1"/>
  <c r="AO13" i="1"/>
  <c r="AM13" i="1"/>
  <c r="AQ12" i="1"/>
  <c r="AP12" i="1"/>
  <c r="AO12" i="1"/>
  <c r="AM12" i="1"/>
  <c r="AQ11" i="1"/>
  <c r="AP11" i="1"/>
  <c r="AO11" i="1"/>
  <c r="AM11" i="1"/>
  <c r="AO10" i="1"/>
  <c r="AM10" i="1"/>
  <c r="AP10" i="1" s="1"/>
  <c r="AQ10" i="1" s="1"/>
  <c r="AQ9" i="1"/>
  <c r="AP9" i="1"/>
  <c r="AO9" i="1"/>
  <c r="AM9" i="1"/>
  <c r="AQ8" i="1"/>
  <c r="AP8" i="1"/>
  <c r="AO8" i="1"/>
  <c r="AM8" i="1"/>
  <c r="AQ7" i="1"/>
  <c r="AP7" i="1"/>
  <c r="AO7" i="1"/>
  <c r="AM7" i="1"/>
  <c r="AQ6" i="1"/>
  <c r="AP6" i="1"/>
  <c r="AO6" i="1"/>
  <c r="AM6" i="1"/>
  <c r="AQ5" i="1"/>
  <c r="AP5" i="1"/>
  <c r="AO5" i="1"/>
  <c r="AM5" i="1"/>
  <c r="AQ4" i="1"/>
  <c r="AP4" i="1"/>
  <c r="AO4" i="1"/>
  <c r="AO27" i="1" s="1"/>
  <c r="AM4" i="1"/>
  <c r="AE10" i="1"/>
  <c r="AE26" i="1"/>
  <c r="AH26" i="1" s="1"/>
  <c r="AI26" i="1" s="1"/>
  <c r="AE25" i="1"/>
  <c r="AE24" i="1"/>
  <c r="AE23" i="1"/>
  <c r="AE22" i="1"/>
  <c r="AH22" i="1" s="1"/>
  <c r="AI22" i="1" s="1"/>
  <c r="AE21" i="1"/>
  <c r="AE20" i="1"/>
  <c r="AE19" i="1"/>
  <c r="AE18" i="1"/>
  <c r="AE17" i="1"/>
  <c r="AE16" i="1"/>
  <c r="AE15" i="1"/>
  <c r="AE14" i="1"/>
  <c r="AE13" i="1"/>
  <c r="AE12" i="1"/>
  <c r="AE11" i="1"/>
  <c r="AE9" i="1"/>
  <c r="AE8" i="1"/>
  <c r="AE7" i="1"/>
  <c r="AE6" i="1"/>
  <c r="AE5" i="1"/>
  <c r="AE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4" i="1"/>
  <c r="W5" i="1"/>
  <c r="AH10" i="1"/>
  <c r="AI10" i="1" s="1"/>
  <c r="AG26" i="1"/>
  <c r="AI25" i="1"/>
  <c r="AH25" i="1"/>
  <c r="AG25" i="1"/>
  <c r="AI24" i="1"/>
  <c r="AH24" i="1"/>
  <c r="AG24" i="1"/>
  <c r="AI23" i="1"/>
  <c r="AH23" i="1"/>
  <c r="AG23" i="1"/>
  <c r="AG22" i="1"/>
  <c r="AG21" i="1"/>
  <c r="AH21" i="1"/>
  <c r="AI21" i="1" s="1"/>
  <c r="AG20" i="1"/>
  <c r="AH20" i="1"/>
  <c r="AI20" i="1" s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G10" i="1"/>
  <c r="AI9" i="1"/>
  <c r="AH9" i="1"/>
  <c r="AG9" i="1"/>
  <c r="AI8" i="1"/>
  <c r="AH8" i="1"/>
  <c r="AG8" i="1"/>
  <c r="AI7" i="1"/>
  <c r="AH7" i="1"/>
  <c r="AG7" i="1"/>
  <c r="AI6" i="1"/>
  <c r="AH6" i="1"/>
  <c r="AG6" i="1"/>
  <c r="AG5" i="1"/>
  <c r="AH5" i="1"/>
  <c r="AI5" i="1" s="1"/>
  <c r="AI4" i="1"/>
  <c r="AH4" i="1"/>
  <c r="AG4" i="1"/>
  <c r="BL38" i="1" l="1"/>
  <c r="BG28" i="1" s="1"/>
  <c r="BG29" i="1" s="1"/>
  <c r="BK38" i="1"/>
  <c r="BH28" i="1" s="1"/>
  <c r="BH29" i="1" s="1"/>
  <c r="BJ38" i="1"/>
  <c r="BC28" i="1" s="1"/>
  <c r="BC29" i="1" s="1"/>
  <c r="BI22" i="1"/>
  <c r="BG27" i="1"/>
  <c r="BH27" i="1"/>
  <c r="AU27" i="1"/>
  <c r="AW27" i="1"/>
  <c r="AX27" i="1"/>
  <c r="AM27" i="1"/>
  <c r="AP27" i="1"/>
  <c r="AG27" i="1"/>
  <c r="AE27" i="1"/>
  <c r="AH27" i="1"/>
  <c r="W27" i="1"/>
  <c r="Z8" i="1"/>
  <c r="AA8" i="1" s="1"/>
  <c r="Z26" i="1"/>
  <c r="AA26" i="1" s="1"/>
  <c r="Z4" i="1"/>
  <c r="G4" i="1"/>
  <c r="Y26" i="1"/>
  <c r="AA25" i="1"/>
  <c r="Z25" i="1"/>
  <c r="Y25" i="1"/>
  <c r="Y24" i="1"/>
  <c r="Z24" i="1"/>
  <c r="AA24" i="1" s="1"/>
  <c r="AA23" i="1"/>
  <c r="Z23" i="1"/>
  <c r="Y23" i="1"/>
  <c r="Y22" i="1"/>
  <c r="Z22" i="1"/>
  <c r="AA22" i="1" s="1"/>
  <c r="Y21" i="1"/>
  <c r="Z21" i="1"/>
  <c r="AA21" i="1" s="1"/>
  <c r="AA20" i="1"/>
  <c r="Z20" i="1"/>
  <c r="Y20" i="1"/>
  <c r="AA19" i="1"/>
  <c r="Z19" i="1"/>
  <c r="Y19" i="1"/>
  <c r="AA18" i="1"/>
  <c r="Z18" i="1"/>
  <c r="Y18" i="1"/>
  <c r="AA17" i="1"/>
  <c r="Z17" i="1"/>
  <c r="Y17" i="1"/>
  <c r="AA16" i="1"/>
  <c r="Z16" i="1"/>
  <c r="Y16" i="1"/>
  <c r="AA15" i="1"/>
  <c r="Z15" i="1"/>
  <c r="Y15" i="1"/>
  <c r="AA14" i="1"/>
  <c r="Z14" i="1"/>
  <c r="Y14" i="1"/>
  <c r="AA13" i="1"/>
  <c r="Z13" i="1"/>
  <c r="Y13" i="1"/>
  <c r="AA12" i="1"/>
  <c r="Z12" i="1"/>
  <c r="Y12" i="1"/>
  <c r="AA11" i="1"/>
  <c r="Z11" i="1"/>
  <c r="Y11" i="1"/>
  <c r="AA10" i="1"/>
  <c r="Z10" i="1"/>
  <c r="Y10" i="1"/>
  <c r="AA9" i="1"/>
  <c r="Z9" i="1"/>
  <c r="Y9" i="1"/>
  <c r="Y8" i="1"/>
  <c r="Y7" i="1"/>
  <c r="Z7" i="1"/>
  <c r="AA7" i="1" s="1"/>
  <c r="AA6" i="1"/>
  <c r="Z6" i="1"/>
  <c r="Y6" i="1"/>
  <c r="Y5" i="1"/>
  <c r="Z5" i="1"/>
  <c r="AA5" i="1" s="1"/>
  <c r="Y4" i="1"/>
  <c r="L56" i="1"/>
  <c r="K36" i="1"/>
  <c r="N6" i="1"/>
  <c r="N9" i="1"/>
  <c r="N10" i="1"/>
  <c r="N11" i="1"/>
  <c r="N12" i="1"/>
  <c r="N13" i="1"/>
  <c r="N14" i="1"/>
  <c r="N15" i="1"/>
  <c r="N16" i="1"/>
  <c r="N17" i="1"/>
  <c r="N18" i="1"/>
  <c r="N19" i="1"/>
  <c r="N20" i="1"/>
  <c r="N23" i="1"/>
  <c r="N25" i="1"/>
  <c r="M6" i="1"/>
  <c r="M9" i="1"/>
  <c r="M10" i="1"/>
  <c r="M11" i="1"/>
  <c r="M12" i="1"/>
  <c r="M13" i="1"/>
  <c r="M14" i="1"/>
  <c r="M15" i="1"/>
  <c r="M16" i="1"/>
  <c r="M17" i="1"/>
  <c r="M18" i="1"/>
  <c r="M19" i="1"/>
  <c r="M20" i="1"/>
  <c r="M23" i="1"/>
  <c r="M25" i="1"/>
  <c r="Y27" i="1" l="1"/>
  <c r="Z27" i="1"/>
  <c r="AA4" i="1"/>
  <c r="J53" i="1"/>
  <c r="H53" i="1"/>
  <c r="I37" i="1"/>
  <c r="I30" i="1"/>
  <c r="F37" i="1"/>
  <c r="H37" i="1" s="1"/>
  <c r="I31" i="1"/>
  <c r="K30" i="1"/>
  <c r="L30" i="1" s="1"/>
  <c r="K29" i="1"/>
  <c r="O30" i="1"/>
  <c r="G30" i="1"/>
  <c r="H30" i="1"/>
  <c r="M30" i="1" s="1"/>
  <c r="N30" i="1" s="1"/>
  <c r="L22" i="1"/>
  <c r="L21" i="1"/>
  <c r="C57" i="1"/>
  <c r="L10" i="1"/>
  <c r="L11" i="1"/>
  <c r="K57" i="1"/>
  <c r="G57" i="1" s="1"/>
  <c r="F33" i="1"/>
  <c r="P33" i="1" s="1"/>
  <c r="H33" i="1" s="1"/>
  <c r="F34" i="1"/>
  <c r="F35" i="1"/>
  <c r="F36" i="1"/>
  <c r="F32" i="1"/>
  <c r="H32" i="1" s="1"/>
  <c r="G29" i="1"/>
  <c r="H29" i="1"/>
  <c r="M29" i="1" s="1"/>
  <c r="N29" i="1" s="1"/>
  <c r="I29" i="1"/>
  <c r="I32" i="1"/>
  <c r="L31" i="1"/>
  <c r="J52" i="1"/>
  <c r="H52" i="1"/>
  <c r="H31" i="1"/>
  <c r="M31" i="1" s="1"/>
  <c r="N31" i="1" s="1"/>
  <c r="G31" i="1"/>
  <c r="I36" i="1"/>
  <c r="I35" i="1"/>
  <c r="I34" i="1"/>
  <c r="I33" i="1"/>
  <c r="K64" i="1"/>
  <c r="J64" i="1"/>
  <c r="I64" i="1"/>
  <c r="H64" i="1"/>
  <c r="L5" i="1"/>
  <c r="L6" i="1"/>
  <c r="L7" i="1"/>
  <c r="L8" i="1"/>
  <c r="L9" i="1"/>
  <c r="L12" i="1"/>
  <c r="L13" i="1"/>
  <c r="L14" i="1"/>
  <c r="L15" i="1"/>
  <c r="L16" i="1"/>
  <c r="L17" i="1"/>
  <c r="L18" i="1"/>
  <c r="L19" i="1"/>
  <c r="L20" i="1"/>
  <c r="L23" i="1"/>
  <c r="L24" i="1"/>
  <c r="L25" i="1"/>
  <c r="L26" i="1"/>
  <c r="L4" i="1"/>
  <c r="L29" i="1" l="1"/>
  <c r="K34" i="1"/>
  <c r="K35" i="1"/>
  <c r="K33" i="1"/>
  <c r="L33" i="1" s="1"/>
  <c r="M32" i="1"/>
  <c r="N32" i="1" s="1"/>
  <c r="G37" i="1"/>
  <c r="G36" i="1"/>
  <c r="P35" i="1"/>
  <c r="H35" i="1" s="1"/>
  <c r="M35" i="1" s="1"/>
  <c r="N35" i="1" s="1"/>
  <c r="G34" i="1"/>
  <c r="G33" i="1"/>
  <c r="P36" i="1"/>
  <c r="H36" i="1" s="1"/>
  <c r="M36" i="1" s="1"/>
  <c r="N36" i="1" s="1"/>
  <c r="L37" i="1"/>
  <c r="G32" i="1"/>
  <c r="P34" i="1"/>
  <c r="H34" i="1" s="1"/>
  <c r="M34" i="1" s="1"/>
  <c r="N34" i="1" s="1"/>
  <c r="I57" i="1"/>
  <c r="L32" i="1"/>
  <c r="L27" i="1"/>
  <c r="G35" i="1"/>
  <c r="M33" i="1"/>
  <c r="N33" i="1" s="1"/>
  <c r="J51" i="1"/>
  <c r="H51" i="1"/>
  <c r="H5" i="1"/>
  <c r="M5" i="1" s="1"/>
  <c r="N5" i="1" s="1"/>
  <c r="H6" i="1"/>
  <c r="H7" i="1"/>
  <c r="M7" i="1" s="1"/>
  <c r="N7" i="1" s="1"/>
  <c r="H8" i="1"/>
  <c r="M8" i="1" s="1"/>
  <c r="N8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M21" i="1" s="1"/>
  <c r="N21" i="1" s="1"/>
  <c r="H22" i="1"/>
  <c r="M22" i="1" s="1"/>
  <c r="N22" i="1" s="1"/>
  <c r="H23" i="1"/>
  <c r="H24" i="1"/>
  <c r="M24" i="1" s="1"/>
  <c r="N24" i="1" s="1"/>
  <c r="H25" i="1"/>
  <c r="H26" i="1"/>
  <c r="M26" i="1" s="1"/>
  <c r="H4" i="1"/>
  <c r="M4" i="1" s="1"/>
  <c r="N4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0" i="1"/>
  <c r="I26" i="1"/>
  <c r="I10" i="1"/>
  <c r="I4" i="1"/>
  <c r="I5" i="1"/>
  <c r="I6" i="1"/>
  <c r="I7" i="1"/>
  <c r="I8" i="1"/>
  <c r="I9" i="1"/>
  <c r="I11" i="1"/>
  <c r="I12" i="1"/>
  <c r="I13" i="1"/>
  <c r="I14" i="1"/>
  <c r="I15" i="1"/>
  <c r="I16" i="1"/>
  <c r="I17" i="1"/>
  <c r="I20" i="1"/>
  <c r="I21" i="1"/>
  <c r="I23" i="1"/>
  <c r="I24" i="1"/>
  <c r="I22" i="1"/>
  <c r="L35" i="1" l="1"/>
  <c r="L36" i="1"/>
  <c r="M37" i="1"/>
  <c r="N37" i="1" s="1"/>
  <c r="M27" i="1"/>
  <c r="N26" i="1"/>
  <c r="H27" i="1"/>
  <c r="G27" i="1"/>
</calcChain>
</file>

<file path=xl/sharedStrings.xml><?xml version="1.0" encoding="utf-8"?>
<sst xmlns="http://schemas.openxmlformats.org/spreadsheetml/2006/main" count="614" uniqueCount="265">
  <si>
    <t xml:space="preserve"> </t>
  </si>
  <si>
    <r>
      <t>Energieträger</t>
    </r>
    <r>
      <rPr>
        <sz val="11"/>
        <color rgb="FF000000"/>
        <rFont val="Arial"/>
        <family val="2"/>
      </rPr>
      <t xml:space="preserve"> </t>
    </r>
  </si>
  <si>
    <r>
      <t>CO</t>
    </r>
    <r>
      <rPr>
        <b/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</si>
  <si>
    <r>
      <t>Einheit</t>
    </r>
    <r>
      <rPr>
        <sz val="11"/>
        <color rgb="FF000000"/>
        <rFont val="Arial"/>
        <family val="2"/>
      </rPr>
      <t xml:space="preserve"> </t>
    </r>
  </si>
  <si>
    <t xml:space="preserve">Brennstoffe </t>
  </si>
  <si>
    <t xml:space="preserve">Erdgas (in kWh bezogen auf Heizwert, Hu bzw. Hi) </t>
  </si>
  <si>
    <t xml:space="preserve">kg/kWh </t>
  </si>
  <si>
    <t xml:space="preserve">Flüssiggas (in kg, bezogen auf Gewicht) </t>
  </si>
  <si>
    <t xml:space="preserve">kg/kg </t>
  </si>
  <si>
    <t xml:space="preserve">Flüssiggas (in kWh, bezogen auf Heizwert Hu bzw. Hi) </t>
  </si>
  <si>
    <t xml:space="preserve">Heizöl EL (in l, bezogen auf Volumen) </t>
  </si>
  <si>
    <t xml:space="preserve">kg/l </t>
  </si>
  <si>
    <t xml:space="preserve">Heizöl EL (in kg, bezogen auf Gewicht) </t>
  </si>
  <si>
    <t xml:space="preserve">Heizöl EL (in kWh, bezogen auf Heizwert, Hu bzw. Hi) </t>
  </si>
  <si>
    <t xml:space="preserve">Heizöl S (in l, bezogen auf Volumen) </t>
  </si>
  <si>
    <t xml:space="preserve">Heizöl S (in kWh, bezogen auf Heizwert, Hu bzw. Hi) </t>
  </si>
  <si>
    <t xml:space="preserve">Steinkohle-Briketts (Eierkohlen) </t>
  </si>
  <si>
    <t xml:space="preserve">Steinkohle-Koks </t>
  </si>
  <si>
    <t xml:space="preserve">Braunkohle-Briketts (Rheinische Braunkohle, Union®) </t>
  </si>
  <si>
    <r>
      <t>Braunkohle kWh (Hu)</t>
    </r>
    <r>
      <rPr>
        <sz val="11.5"/>
        <color rgb="FF000000"/>
        <rFont val="Arial"/>
        <family val="2"/>
      </rPr>
      <t xml:space="preserve"> </t>
    </r>
  </si>
  <si>
    <r>
      <t>kg/kWh</t>
    </r>
    <r>
      <rPr>
        <sz val="10.5"/>
        <color rgb="FF000000"/>
        <rFont val="Arial"/>
        <family val="2"/>
      </rPr>
      <t xml:space="preserve"> </t>
    </r>
  </si>
  <si>
    <t xml:space="preserve">Holz-Hackschnitzel </t>
  </si>
  <si>
    <t xml:space="preserve">Holz-Pellets </t>
  </si>
  <si>
    <t xml:space="preserve">Treibstoffe </t>
  </si>
  <si>
    <t xml:space="preserve">Dieselkraftstoff (in kWh, incl. Bioanteil, bezogen auf Heizwert, Hu bzw. Hi) </t>
  </si>
  <si>
    <t xml:space="preserve">Dieselkraftstoff (in l, incl. Bioanteil, bezogen auf Volumen) </t>
  </si>
  <si>
    <t xml:space="preserve">Ottokraftstoff (in l, incl. Bioanteil, bezogen auf Volumen) </t>
  </si>
  <si>
    <t xml:space="preserve">Ottokraftstoff (in kWh, bezogen auf Heizwert, Hu bzw. Hi) </t>
  </si>
  <si>
    <t xml:space="preserve">Einheit </t>
  </si>
  <si>
    <t xml:space="preserve">Fernwärme </t>
  </si>
  <si>
    <t xml:space="preserve">Fernwärmemix* </t>
  </si>
  <si>
    <t xml:space="preserve">Sonstige </t>
  </si>
  <si>
    <t xml:space="preserve">Erneuerbare (Solarthermie, Scheitholz, Holzpellet, etc.) </t>
  </si>
  <si>
    <t xml:space="preserve">Strom </t>
  </si>
  <si>
    <t xml:space="preserve">Strom (bundesdeutscher Strommix 2015) </t>
  </si>
  <si>
    <t>in kg</t>
  </si>
  <si>
    <t>in t</t>
  </si>
  <si>
    <r>
      <t>1t CO</t>
    </r>
    <r>
      <rPr>
        <b/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</si>
  <si>
    <t>sind</t>
  </si>
  <si>
    <t xml:space="preserve">kWh </t>
  </si>
  <si>
    <t xml:space="preserve">kg </t>
  </si>
  <si>
    <t xml:space="preserve">l </t>
  </si>
  <si>
    <r>
      <t>kWh</t>
    </r>
    <r>
      <rPr>
        <sz val="10.5"/>
        <color rgb="FF000000"/>
        <rFont val="Arial"/>
        <family val="2"/>
      </rPr>
      <t xml:space="preserve"> </t>
    </r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</si>
  <si>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Öko-Institut nach Angaben aus GEMIS 4.95 (Dezember 2016)</t>
    </r>
  </si>
  <si>
    <r>
      <t>Die direkten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-Emissionen der Brennstoffe entsprechen den Angaben des Umweltbundesamtes.  Die Werte für Strom sind die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-Emissionen der Kraftwerke</t>
    </r>
    <r>
      <rPr>
        <b/>
        <sz val="10"/>
        <color rgb="FF000000"/>
        <rFont val="Arial"/>
        <family val="2"/>
      </rPr>
      <t xml:space="preserve"> </t>
    </r>
  </si>
  <si>
    <t>Für Treibstoffe mit biogenen Anteilen liegen vom Umweltbundesamt keine Daten vor. Hier wurden die Angaben von GEMIS 4.95 übernommen.</t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</si>
  <si>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Fernwärmemix: Durchschnittswert, auf der Basis der Berechnungen des Statistikamts Nord für die Hamburger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-Bilanz Stand 2015, veröffentlicht  Juli 2017</t>
    </r>
  </si>
  <si>
    <r>
      <t xml:space="preserve">Hinweis: Die Faktoren sind entsprechend der Hamburger Verursacher- und Quellenbilanz des Statistikamts Nord </t>
    </r>
    <r>
      <rPr>
        <b/>
        <sz val="10"/>
        <color rgb="FF000000"/>
        <rFont val="Arial"/>
        <family val="2"/>
      </rPr>
      <t>ohne</t>
    </r>
    <r>
      <rPr>
        <sz val="10"/>
        <color rgb="FF000000"/>
        <rFont val="Arial"/>
        <family val="2"/>
      </rPr>
      <t xml:space="preserve"> Vorkette.  </t>
    </r>
  </si>
  <si>
    <r>
      <t>* Die Berechnung des Emissionsfaktors erfolgt mittels der finnischen Methode, die relativ viel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der Wärme zuordnet. Die finnische Methode liegt auch den Energiebilanzen der Länder zu Grunde. Der Wert spiegelt zudem wider, dass zurzeit die Fernwärme noch einen relativ hohen Steinkohle-Anteil enthält.   </t>
    </r>
  </si>
  <si>
    <t>** Der Emissionsfaktor berücksichtigt einen biogenen Anteil von 50%.</t>
  </si>
  <si>
    <r>
      <t xml:space="preserve">Emissionsfaktoren für die Berechnung </t>
    </r>
    <r>
      <rPr>
        <sz val="8"/>
        <color rgb="FF000000"/>
        <rFont val="Arial"/>
        <family val="2"/>
      </rPr>
      <t>der Reduktion</t>
    </r>
    <r>
      <rPr>
        <b/>
        <sz val="16"/>
        <color rgb="FF000000"/>
        <rFont val="Arial"/>
        <family val="2"/>
      </rPr>
      <t xml:space="preserve"> von CO</t>
    </r>
    <r>
      <rPr>
        <b/>
        <vertAlign val="subscript"/>
        <sz val="16"/>
        <color rgb="FF000000"/>
        <rFont val="Arial"/>
        <family val="2"/>
      </rPr>
      <t>2</t>
    </r>
    <r>
      <rPr>
        <b/>
        <sz val="16"/>
        <color rgb="FF000000"/>
        <rFont val="Arial"/>
        <family val="2"/>
      </rPr>
      <t>Emissionen</t>
    </r>
    <r>
      <rPr>
        <sz val="8"/>
        <color rgb="FF000000"/>
        <rFont val="Arial"/>
        <family val="2"/>
      </rPr>
      <t xml:space="preserve"> im Rahmen des Hamburger Klimaplans </t>
    </r>
  </si>
  <si>
    <t>Eingaben</t>
  </si>
  <si>
    <t>Verbrauch</t>
  </si>
  <si>
    <t>Kosten</t>
  </si>
  <si>
    <t>in €</t>
  </si>
  <si>
    <t>kWh</t>
  </si>
  <si>
    <t xml:space="preserve">1 m³ Erdgas =  </t>
  </si>
  <si>
    <t>Formel</t>
  </si>
  <si>
    <t>Durchschittshaushalt</t>
  </si>
  <si>
    <t>je Pers ca. 1000</t>
  </si>
  <si>
    <t>Grundpreis</t>
  </si>
  <si>
    <t>Gas-Wärmepumpe</t>
  </si>
  <si>
    <t>Jahresnutzungsgrad</t>
  </si>
  <si>
    <t>Jahresheizzahl</t>
  </si>
  <si>
    <t>Adsorptionswärmepumpen</t>
  </si>
  <si>
    <t>1,21 bis 1,58</t>
  </si>
  <si>
    <t>1,17 bis 1,51</t>
  </si>
  <si>
    <t>Absorptionswärmepumpen</t>
  </si>
  <si>
    <t>1,36 bis 1,58</t>
  </si>
  <si>
    <t>1,29 bis 1,48</t>
  </si>
  <si>
    <t>gasmotorische Wärmepumpen</t>
  </si>
  <si>
    <t>1,35 bis 1,60</t>
  </si>
  <si>
    <t>1,6 bis 2,2</t>
  </si>
  <si>
    <t>Antriebsart</t>
  </si>
  <si>
    <t>elektrisch</t>
  </si>
  <si>
    <t>Gas</t>
  </si>
  <si>
    <t>Wärmequelle</t>
  </si>
  <si>
    <t>Außenluft</t>
  </si>
  <si>
    <t>Erdreich</t>
  </si>
  <si>
    <t>Grundwasser</t>
  </si>
  <si>
    <t>Art der Wärmepumpe</t>
  </si>
  <si>
    <t>Luft / Wasser</t>
  </si>
  <si>
    <t>Sole / Wasser</t>
  </si>
  <si>
    <t>Wasser / Wasser</t>
  </si>
  <si>
    <r>
      <t>COP-Wert nach DIN EN 14511 im Betriebspunkt</t>
    </r>
    <r>
      <rPr>
        <vertAlign val="superscript"/>
        <sz val="8"/>
        <color rgb="FF000000"/>
        <rFont val="Calibri"/>
        <family val="2"/>
        <scheme val="minor"/>
      </rPr>
      <t>1</t>
    </r>
  </si>
  <si>
    <t>~ 4,2</t>
  </si>
  <si>
    <t>A2C / W35</t>
  </si>
  <si>
    <t>~ 4,7</t>
  </si>
  <si>
    <t>B0C / W35</t>
  </si>
  <si>
    <t>~ 5,8</t>
  </si>
  <si>
    <t>W10C / W35</t>
  </si>
  <si>
    <t>~ 1,65</t>
  </si>
  <si>
    <r>
      <t>Durchschnittliche Jahresarbeitszahl (JAZ) Neubau / Bestand</t>
    </r>
    <r>
      <rPr>
        <vertAlign val="superscript"/>
        <sz val="8"/>
        <color rgb="FF000000"/>
        <rFont val="Calibri"/>
        <family val="2"/>
        <scheme val="minor"/>
      </rPr>
      <t>2</t>
    </r>
  </si>
  <si>
    <t>3,3 / 2,9</t>
  </si>
  <si>
    <t>4,0 / 3,5</t>
  </si>
  <si>
    <t>4,3 / 3,6</t>
  </si>
  <si>
    <t>Mindestforderung für Förderung nach dem MAP im Bestand</t>
  </si>
  <si>
    <t>Wohngebäude 3,8 Nicht-Wohng. 4,0</t>
  </si>
  <si>
    <t>Wohngebäude 1,25 Nicht-Wohng. 1,3</t>
  </si>
  <si>
    <t>Mindestforderung für Förderung nach dem MAP im Neubau</t>
  </si>
  <si>
    <t>Mindestforderung nach EEWärmeG (mit WWB)</t>
  </si>
  <si>
    <t>3,5 (3,3)*</t>
  </si>
  <si>
    <t>4 (3,8)*</t>
  </si>
  <si>
    <t>Mindestforderung nach EWärmeG in Baden-Württemberg</t>
  </si>
  <si>
    <t>1  COP (Coefficient of Performance) = Leistungszahl in einem Arbeitspunkt = Heizleistung / eingesetzte Leistung [KW]</t>
  </si>
  <si>
    <t xml:space="preserve">     (A – Luft, B – Sole, W – Wasser, W35 – Vorlauftemperatur 35C)</t>
  </si>
  <si>
    <t>2  Jahresarbeitszahl (JAZ) – Verhältnis von Nutzwärme zu aufgenommenen Energie [KWh] bezogen auf ein Jahr = Maß für die Effizienz     einer Wärmepumpe, Angaben für Neubau</t>
  </si>
  <si>
    <t xml:space="preserve"> 35C / Bestand</t>
  </si>
  <si>
    <t xml:space="preserve"> 55C Vorlauftemperatur</t>
  </si>
  <si>
    <r>
      <t>*</t>
    </r>
    <r>
      <rPr>
        <sz val="7"/>
        <color rgb="FF000000"/>
        <rFont val="Times New Roman"/>
        <family val="1"/>
      </rPr>
      <t xml:space="preserve">  </t>
    </r>
    <r>
      <rPr>
        <sz val="8"/>
        <color rgb="FF000000"/>
        <rFont val="Calibri"/>
        <family val="2"/>
        <scheme val="minor"/>
      </rPr>
      <t>Diese Werte werden um weitere 0,2 gemindert, wenn die Nutzungspflicht im Bestand erfüllt wird.</t>
    </r>
  </si>
  <si>
    <t>1 kg Wasser um 100 ° erwärmen,  W  = 1 kg x 1,163 x 100k = 116,3 Wh =  (116,3 Wh/ 1000 = 0,1163 kWh (kiloWattStunde)</t>
  </si>
  <si>
    <t>(JAZ)</t>
  </si>
  <si>
    <t xml:space="preserve">kg / L Öl =  </t>
  </si>
  <si>
    <t>WP</t>
  </si>
  <si>
    <t>Strom</t>
  </si>
  <si>
    <t>im Monat tanken</t>
  </si>
  <si>
    <t>L im Jahr Kraftstoff</t>
  </si>
  <si>
    <t>km im Jahr</t>
  </si>
  <si>
    <t>km im Monat</t>
  </si>
  <si>
    <t>Liter Tank</t>
  </si>
  <si>
    <r>
      <t xml:space="preserve">Erdgas (in kWh, bezogen auf </t>
    </r>
    <r>
      <rPr>
        <b/>
        <sz val="10.5"/>
        <color rgb="FF000000"/>
        <rFont val="Arial"/>
        <family val="2"/>
      </rPr>
      <t>Brennwert,</t>
    </r>
    <r>
      <rPr>
        <sz val="10.5"/>
        <color rgb="FF000000"/>
        <rFont val="Arial"/>
        <family val="2"/>
      </rPr>
      <t xml:space="preserve"> Ho bzw. Hs) </t>
    </r>
  </si>
  <si>
    <t>Wärmepumpe elektrisch Grundwasser Wasser / Wasser (N 4,3 / B 3,6)</t>
  </si>
  <si>
    <t>Wärmepumpe elektrisch Erdreich Sole / Wasser (Neubau 4,0 / Bestand 3,5)</t>
  </si>
  <si>
    <t>Wärmepumpe elektrisch Außenluft Luft / Wasser (Neubau 3,3 / Bestand 2,9)</t>
  </si>
  <si>
    <t>Wärmepumpe Gas Außenluft Luft / Wasser  (1,4)</t>
  </si>
  <si>
    <t>Freie Angaben</t>
  </si>
  <si>
    <t>https://www.kernenergie.de/kernenergie/themen/strom/Zahlen-und-Fakten/01_index.php</t>
  </si>
  <si>
    <t>Strom (Bundesdeutscher Durchschnittsmix 2016) 
Radioaktiver Abfall in g/kWh 0,0004; 76.324.000.000 kWh Strom (brutto)=30t</t>
  </si>
  <si>
    <t>https://www.lichtblick.de/presse/news/2018/01/31/deutschlands-dreckige-stromanbieter/</t>
  </si>
  <si>
    <t>https://www.boerse.de/rohstoffe/Co2-Emissionsrechte/XC000A0C4KJ2</t>
  </si>
  <si>
    <t xml:space="preserve">t </t>
  </si>
  <si>
    <t>CO2-Emissionszertifikat (in 7 Jahren: Max 18€, Min 3€, Aktuell 8€)</t>
  </si>
  <si>
    <t xml:space="preserve">Strom (ÖKOstrom 0 kg/kWh ca. 0,26€/kWh ) </t>
  </si>
  <si>
    <t>Strom (von 0,395 bis 0,813 kg/kWh 0,25€/kWh)</t>
  </si>
  <si>
    <t>https://www.carmen-ev.de/biogene-festbrennstoffe/brennstoffe/hackschnitzel/579-heizwert-wassergehalt-und-gewicht</t>
  </si>
  <si>
    <t xml:space="preserve">kg  =  </t>
  </si>
  <si>
    <r>
      <t>Quellen:</t>
    </r>
    <r>
      <rPr>
        <sz val="10"/>
        <color rgb="FF000000"/>
        <rFont val="Arial"/>
        <family val="2"/>
      </rPr>
      <t xml:space="preserve"> </t>
    </r>
  </si>
  <si>
    <t xml:space="preserve">Urheber der Daten: Behörde für Umwelt und Energie; Leitstelle Klimaschutz; Ursel Lünsmann-Pielke; ursel.luensmann-pielke@bue.hamburg.de; Stand: Oktober 2017 </t>
  </si>
  <si>
    <t>CO2 Steuer</t>
  </si>
  <si>
    <t>180 €/t</t>
  </si>
  <si>
    <t>je Verbrauch</t>
  </si>
  <si>
    <r>
      <t xml:space="preserve">Heizöl EL (in kWh, bezogen auf </t>
    </r>
    <r>
      <rPr>
        <b/>
        <sz val="10.5"/>
        <color rgb="FF000000"/>
        <rFont val="Arial"/>
        <family val="2"/>
      </rPr>
      <t>Brennwert</t>
    </r>
    <r>
      <rPr>
        <sz val="10.5"/>
        <color rgb="FF000000"/>
        <rFont val="Arial"/>
        <family val="2"/>
      </rPr>
      <t xml:space="preserve"> Ho bzw. Hs) </t>
    </r>
  </si>
  <si>
    <t xml:space="preserve">Umrechnungsfaktor  CO2 </t>
  </si>
  <si>
    <t>.</t>
  </si>
  <si>
    <r>
      <t>(</t>
    </r>
    <r>
      <rPr>
        <b/>
        <sz val="11"/>
        <color theme="1"/>
        <rFont val="Calibri"/>
        <family val="2"/>
        <scheme val="minor"/>
      </rPr>
      <t xml:space="preserve">Holz </t>
    </r>
    <r>
      <rPr>
        <sz val="11"/>
        <color theme="1"/>
        <rFont val="Calibri"/>
        <family val="2"/>
        <scheme val="minor"/>
      </rPr>
      <t>(20% w) einen Heizwert von 4 kWh/kg)</t>
    </r>
  </si>
  <si>
    <r>
      <t xml:space="preserve">1 kg </t>
    </r>
    <r>
      <rPr>
        <b/>
        <sz val="11"/>
        <color theme="1"/>
        <rFont val="Calibri"/>
        <family val="2"/>
        <scheme val="minor"/>
      </rPr>
      <t xml:space="preserve"> ÖL </t>
    </r>
    <r>
      <rPr>
        <sz val="11"/>
        <color theme="1"/>
        <rFont val="Calibri"/>
        <family val="2"/>
        <scheme val="minor"/>
      </rPr>
      <t xml:space="preserve"> = 11,4 kWh</t>
    </r>
  </si>
  <si>
    <r>
      <t xml:space="preserve">1 m³ </t>
    </r>
    <r>
      <rPr>
        <b/>
        <sz val="11"/>
        <color theme="1"/>
        <rFont val="Calibri"/>
        <family val="2"/>
        <scheme val="minor"/>
      </rPr>
      <t>Erdgas</t>
    </r>
    <r>
      <rPr>
        <sz val="11"/>
        <color theme="1"/>
        <rFont val="Calibri"/>
        <family val="2"/>
        <scheme val="minor"/>
      </rPr>
      <t xml:space="preserve"> = 31.736 kJ = 7.580 kcal = 8,816 kWh</t>
    </r>
  </si>
  <si>
    <r>
      <t>1 kg (</t>
    </r>
    <r>
      <rPr>
        <b/>
        <sz val="11"/>
        <color theme="1"/>
        <rFont val="Calibri"/>
        <family val="2"/>
        <scheme val="minor"/>
      </rPr>
      <t>Wasser</t>
    </r>
    <r>
      <rPr>
        <sz val="11"/>
        <color theme="1"/>
        <rFont val="Calibri"/>
        <family val="2"/>
        <scheme val="minor"/>
      </rPr>
      <t xml:space="preserve">, = ca. 1Ltr.) x 1,163 x 1K = 1,163 Wh </t>
    </r>
  </si>
  <si>
    <r>
      <rPr>
        <b/>
        <sz val="11"/>
        <color theme="1"/>
        <rFont val="Calibri"/>
        <family val="2"/>
        <scheme val="minor"/>
      </rPr>
      <t>Kraftstoff</t>
    </r>
    <r>
      <rPr>
        <sz val="11"/>
        <color theme="1"/>
        <rFont val="Calibri"/>
        <family val="2"/>
        <scheme val="minor"/>
      </rPr>
      <t xml:space="preserve"> abschätzen </t>
    </r>
  </si>
  <si>
    <t>*20 Tage im Monat</t>
  </si>
  <si>
    <t>km am Werktag* =</t>
  </si>
  <si>
    <t>plus WP System (Bitte Wählen)</t>
  </si>
  <si>
    <t>x</t>
  </si>
  <si>
    <t>Plus</t>
  </si>
  <si>
    <t>Summe</t>
  </si>
  <si>
    <t>co2</t>
  </si>
  <si>
    <t>steuer</t>
  </si>
  <si>
    <t>Variante 4 Familie (PKW 20.000km 5l/100km = 1000l Benzin; Wärme 15.000 kWh Gas + Solar; Strom 3.000)</t>
  </si>
  <si>
    <t>Variante 5 Familie (PKW 20.000km 5l/100km = 1000l Benzin; Wärme 25.000 kWh WP ; Strom 3.000)</t>
  </si>
  <si>
    <t>Variante 2 Familie (PKW 20.000km 5l/100km = 1000l Benzin; Wärme 25.000 kWh ÖL; Strom 3.000)</t>
  </si>
  <si>
    <t>Variante 3 Familie (PKW 20.000km 5l/100km = 1000l Benzin; Wärme 25.000 kWh Fernwärme; Strom 3.000)</t>
  </si>
  <si>
    <t>Variante 1 Normale Familie (PKW 20.000km 5l/100km = 1000l Diesel; Wärme 25.000 kWh Gas; Strom 3.000 kWh)</t>
  </si>
  <si>
    <r>
      <t>CO</t>
    </r>
    <r>
      <rPr>
        <sz val="7"/>
        <color rgb="FF000000"/>
        <rFont val="Arial"/>
        <family val="2"/>
      </rPr>
      <t xml:space="preserve">2 </t>
    </r>
  </si>
  <si>
    <t>Faktoren zum Umrechnen von Energieverbrauchsdaten in die standardisierte Energieverbrauchseinheit MJ und in Treibhausgasemissionen, wie sie im Leitfaden im weiteren Verlauf vorgestellt werden:</t>
  </si>
  <si>
    <t>Energieverbrauch</t>
  </si>
  <si>
    <t>Treibhausgasemissionen
(als CO2e = CO2-Äquivalente)</t>
  </si>
  <si>
    <t>Einheit</t>
  </si>
  <si>
    <t>Direkt
(TTW)</t>
  </si>
  <si>
    <t>Gesamt
(WTW)</t>
  </si>
  <si>
    <t>Diesel</t>
  </si>
  <si>
    <t>Deutschland</t>
  </si>
  <si>
    <t>MJ/l</t>
  </si>
  <si>
    <t>kg/l</t>
  </si>
  <si>
    <t>Kerosin</t>
  </si>
  <si>
    <t>MJ/kg</t>
  </si>
  <si>
    <t>kg/kg</t>
  </si>
  <si>
    <t>Schweröl für Schiffe</t>
  </si>
  <si>
    <t>Bahnstrom</t>
  </si>
  <si>
    <t>MJ/kWh</t>
  </si>
  <si>
    <t>kg/kWh</t>
  </si>
  <si>
    <t>Fernwärme</t>
  </si>
  <si>
    <t>Erdgas Heizwert</t>
  </si>
  <si>
    <t>Erdgas Brennwert</t>
  </si>
  <si>
    <t>Heizöl</t>
  </si>
  <si>
    <t>Benzin</t>
  </si>
  <si>
    <t>Durchschnittliche Verbrauchswerte pro Tonnenkilometer differenziert nach Verkehrsmitteln und Fahrzeugtypen:</t>
  </si>
  <si>
    <t>Verkehrsmittel/
Fahrzeuge</t>
  </si>
  <si>
    <t>Energie</t>
  </si>
  <si>
    <t>Volumen-
Gut</t>
  </si>
  <si>
    <t>Durch-
Schnittsgut</t>
  </si>
  <si>
    <t>Massen-
Gut</t>
  </si>
  <si>
    <t>Lkw &lt; 7,5 t</t>
  </si>
  <si>
    <t>l/tkm</t>
  </si>
  <si>
    <t>Lkw  7,5 – 12 t</t>
  </si>
  <si>
    <t>Lkw 12t-24</t>
  </si>
  <si>
    <t>Last-/Sattelzug 24-40</t>
  </si>
  <si>
    <t>Zug mit Elektrotraktion</t>
  </si>
  <si>
    <t>kWh/tkm</t>
  </si>
  <si>
    <t>Zug mit Dieseltraktion</t>
  </si>
  <si>
    <t>Containerschiff</t>
  </si>
  <si>
    <t>Schweröl</t>
  </si>
  <si>
    <t>kg/tkm</t>
  </si>
  <si>
    <t>Massengutfrachter</t>
  </si>
  <si>
    <t>Binnenschiff</t>
  </si>
  <si>
    <t>Frachtflugzeug</t>
  </si>
  <si>
    <t>Belly-Fracht</t>
  </si>
  <si>
    <t>Mit Hilfe der oben stehenden Tabellen berechneten Well-to-Wheel-Treibhausgasemissionen pro Tonnenkilometer:</t>
  </si>
  <si>
    <t>gCO2e/tkm</t>
  </si>
  <si>
    <t xml:space="preserve">Scope 1 </t>
  </si>
  <si>
    <t xml:space="preserve">Scope 2 </t>
  </si>
  <si>
    <t>Scope 3</t>
  </si>
  <si>
    <t xml:space="preserve">Energieverbrauch eigener Lkw, Pkw, Loks, Schiffe, Flugzeuge </t>
  </si>
  <si>
    <t xml:space="preserve">Flüssig-/Erdgas sowie Heizölverbrauch eigener Büros/Lager </t>
  </si>
  <si>
    <t xml:space="preserve">Kältemittelverluste eigener Büros, Lager und Lkw </t>
  </si>
  <si>
    <t xml:space="preserve">Stromverbrauch eigener Büros/Lager/Umschlagsanlagen </t>
  </si>
  <si>
    <t xml:space="preserve">Fernwärmeverbrauch eigener Büros/Lager </t>
  </si>
  <si>
    <t xml:space="preserve">Dienstreisen, Arbeitswege der Mitarbeiter  </t>
  </si>
  <si>
    <t xml:space="preserve">Transporte durch Subdienstleister (Lkw, Bahn, Schiff, Flugzeug) </t>
  </si>
  <si>
    <t xml:space="preserve">Lager und Umschlagsanlagen von Dritten </t>
  </si>
  <si>
    <t xml:space="preserve">Herstellungsaufwand von Energieträgern (z. B. Diesel) </t>
  </si>
  <si>
    <t xml:space="preserve">Herstellungsaufwand von Produkten (z. B. Papierherstellung) </t>
  </si>
  <si>
    <t>CEN-Entwurf prEN 16258:20111)</t>
  </si>
  <si>
    <t>Daten typisch für
Deutschland und EU
(verwendet  im Leitfaden)
1)</t>
  </si>
  <si>
    <t>Tank-to-Wheel</t>
  </si>
  <si>
    <t>Well-to-Wheel</t>
  </si>
  <si>
    <t>Diesel
Konventionell</t>
  </si>
  <si>
    <t>Biodiesel</t>
  </si>
  <si>
    <t>k.A.</t>
  </si>
  <si>
    <t>Diesel
Deutschland2)</t>
  </si>
  <si>
    <t>Erdgas</t>
  </si>
  <si>
    <t>Flüssiggas</t>
  </si>
  <si>
    <t>RFO/Heizö
schwer
4)</t>
  </si>
  <si>
    <t>Bahnstrom
Deutschland</t>
  </si>
  <si>
    <t>Bahnstrom
Schweden</t>
  </si>
  <si>
    <t>Treibhausgase</t>
  </si>
  <si>
    <r>
      <t>kg CO</t>
    </r>
    <r>
      <rPr>
        <sz val="6"/>
        <rFont val="Arial"/>
        <family val="2"/>
      </rPr>
      <t>2</t>
    </r>
    <r>
      <rPr>
        <sz val="11"/>
        <color theme="1"/>
        <rFont val="Calibri"/>
        <family val="2"/>
        <scheme val="minor"/>
      </rPr>
      <t>e/kWh</t>
    </r>
  </si>
  <si>
    <t>Berechnung der TTW- und WTW-Energieverbräuche auf Basis des Dieselverbrauchs</t>
  </si>
  <si>
    <t>Diesel verbrauch laut Abrechnung</t>
  </si>
  <si>
    <t>Der TTW-Energieverbrauch berechnet sich wie folgt:</t>
  </si>
  <si>
    <t xml:space="preserve">ENTTW = FC x FEN_TTW </t>
  </si>
  <si>
    <t>=</t>
  </si>
  <si>
    <t>MJ</t>
  </si>
  <si>
    <t>Der WTW-Energieverbrauch kann wie folgt ermittelt werden:</t>
  </si>
  <si>
    <t xml:space="preserve">ENWTW = FC x FEN_WTW </t>
  </si>
  <si>
    <t>Die TTW- und WTW-Treibhausgasemissionen berechnen sich dann wie folgt:</t>
  </si>
  <si>
    <t xml:space="preserve">EMTTW = FC x FEM_TTW </t>
  </si>
  <si>
    <t>kg CO2e</t>
  </si>
  <si>
    <t xml:space="preserve">EMWTW = FC x FEM_ETW </t>
  </si>
  <si>
    <t>Zurück</t>
  </si>
  <si>
    <t>Berechnung der TTW- und WTW-Energieverbräuche auf Basis des Dieselverbrauchs pro Tonne Beladung</t>
  </si>
  <si>
    <t>l</t>
  </si>
  <si>
    <t>Beladung:</t>
  </si>
  <si>
    <t>t</t>
  </si>
  <si>
    <t>Liter pro Beladung</t>
  </si>
  <si>
    <t>MJ  je t auf 100 km</t>
  </si>
  <si>
    <t>kg CO2e je t auf 100 km</t>
  </si>
  <si>
    <t>Berechnung der TTW- und WTW-Energieverbräuche auf Basis des Dieselverbrauchs pro Tonne Beladung auf Jahresbasis für Gesamtnetz</t>
  </si>
  <si>
    <t>Gesamttransportleistung aller Massenguttransporte</t>
  </si>
  <si>
    <t>km</t>
  </si>
  <si>
    <t xml:space="preserve">Diesel verbrauch </t>
  </si>
  <si>
    <t>Transportleistung für z.B. 1 t auf 100 km</t>
  </si>
  <si>
    <t>tkm</t>
  </si>
  <si>
    <t>bei 5 t auf 345 km = 5 t x 345 km= 1725 tkm ACHTUNG das ergebnis muss dann durch die t geteielt werden!!!</t>
  </si>
  <si>
    <t>Anteil Dieselverbrauch pro t</t>
  </si>
  <si>
    <t>l auf 100km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</si>
</sst>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00"/>
    <numFmt numFmtId="166" formatCode="0.0"/>
    <numFmt numFmtId="167" formatCode="_-* #,##0.00\ _D_M_-;\-* #,##0.00\ _D_M_-;_-* &quot;-&quot;??\ _D_M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0.5"/>
      <color rgb="FF000000"/>
      <name val="Arial"/>
      <family val="2"/>
    </font>
    <font>
      <sz val="11.5"/>
      <color rgb="FF000000"/>
      <name val="Arial"/>
      <family val="2"/>
    </font>
    <font>
      <sz val="10.5"/>
      <color rgb="FF000000"/>
      <name val="Calibri"/>
      <family val="2"/>
    </font>
    <font>
      <b/>
      <sz val="10.5"/>
      <color rgb="FF000000"/>
      <name val="Arial"/>
      <family val="2"/>
    </font>
    <font>
      <sz val="7"/>
      <color rgb="FF000000"/>
      <name val="Times New Roman"/>
      <family val="1"/>
    </font>
    <font>
      <vertAlign val="subscript"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vertAlign val="subscript"/>
      <sz val="16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DCE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E7C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7"/>
      </patternFill>
    </fill>
  </fills>
  <borders count="46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medium">
        <color rgb="FFCDCECE"/>
      </bottom>
      <diagonal/>
    </border>
    <border>
      <left/>
      <right/>
      <top/>
      <bottom style="medium">
        <color rgb="FFCDCECE"/>
      </bottom>
      <diagonal/>
    </border>
    <border>
      <left style="thick">
        <color rgb="FFFFFFFF"/>
      </left>
      <right style="thick">
        <color rgb="FFFFFFFF"/>
      </right>
      <top/>
      <bottom style="medium">
        <color rgb="FFF2F2F2"/>
      </bottom>
      <diagonal/>
    </border>
    <border>
      <left style="thick">
        <color rgb="FFFFFFFF"/>
      </left>
      <right/>
      <top/>
      <bottom style="medium">
        <color rgb="FFF2F2F2"/>
      </bottom>
      <diagonal/>
    </border>
    <border>
      <left/>
      <right/>
      <top style="medium">
        <color rgb="FFF2F2F2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ck">
        <color rgb="FFFFFFFF"/>
      </right>
      <top style="thin">
        <color indexed="64"/>
      </top>
      <bottom/>
      <diagonal/>
    </border>
    <border>
      <left/>
      <right style="thick">
        <color rgb="FFFFFFFF"/>
      </right>
      <top style="thin">
        <color indexed="64"/>
      </top>
      <bottom/>
      <diagonal/>
    </border>
    <border>
      <left style="thick">
        <color rgb="FFFFFFFF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/>
      <diagonal/>
    </border>
    <border>
      <left style="thick">
        <color rgb="FFFFFFFF"/>
      </left>
      <right style="thick">
        <color rgb="FFFFFFFF"/>
      </right>
      <top style="medium">
        <color indexed="64"/>
      </top>
      <bottom/>
      <diagonal/>
    </border>
    <border>
      <left style="thick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 style="medium">
        <color rgb="FFF2F2F2"/>
      </bottom>
      <diagonal/>
    </border>
    <border>
      <left/>
      <right style="medium">
        <color indexed="64"/>
      </right>
      <top/>
      <bottom style="medium">
        <color rgb="FFCDCECE"/>
      </bottom>
      <diagonal/>
    </border>
    <border>
      <left/>
      <right style="medium">
        <color indexed="64"/>
      </right>
      <top/>
      <bottom style="medium">
        <color rgb="FFF2F2F2"/>
      </bottom>
      <diagonal/>
    </border>
    <border>
      <left style="medium">
        <color indexed="64"/>
      </left>
      <right style="thick">
        <color rgb="FFFFFFFF"/>
      </right>
      <top/>
      <bottom style="thick">
        <color rgb="FFFFFFF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3" borderId="0" xfId="0" applyFont="1" applyFill="1" applyAlignment="1">
      <alignment horizontal="justify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6" borderId="10" xfId="0" applyFill="1" applyBorder="1"/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9" fillId="3" borderId="12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justify" vertical="center" wrapText="1"/>
    </xf>
    <xf numFmtId="0" fontId="11" fillId="2" borderId="10" xfId="0" applyFont="1" applyFill="1" applyBorder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0" fillId="0" borderId="16" xfId="0" applyBorder="1"/>
    <xf numFmtId="0" fontId="6" fillId="2" borderId="14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0" fillId="5" borderId="0" xfId="0" applyFill="1" applyBorder="1"/>
    <xf numFmtId="0" fontId="0" fillId="4" borderId="0" xfId="0" applyFill="1" applyBorder="1"/>
    <xf numFmtId="0" fontId="9" fillId="3" borderId="17" xfId="0" applyFont="1" applyFill="1" applyBorder="1" applyAlignment="1">
      <alignment horizontal="justify" vertical="center" wrapText="1"/>
    </xf>
    <xf numFmtId="0" fontId="0" fillId="7" borderId="18" xfId="0" applyFill="1" applyBorder="1"/>
    <xf numFmtId="1" fontId="0" fillId="0" borderId="19" xfId="0" applyNumberFormat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18" fillId="9" borderId="2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Alignment="1"/>
    <xf numFmtId="0" fontId="18" fillId="8" borderId="21" xfId="0" applyFont="1" applyFill="1" applyBorder="1" applyAlignment="1">
      <alignment horizontal="left" vertical="center"/>
    </xf>
    <xf numFmtId="0" fontId="18" fillId="9" borderId="21" xfId="0" applyFont="1" applyFill="1" applyBorder="1" applyAlignment="1">
      <alignment horizontal="right" vertical="center"/>
    </xf>
    <xf numFmtId="0" fontId="18" fillId="10" borderId="21" xfId="0" applyFont="1" applyFill="1" applyBorder="1" applyAlignment="1">
      <alignment horizontal="right" vertical="center"/>
    </xf>
    <xf numFmtId="0" fontId="18" fillId="9" borderId="0" xfId="0" applyFont="1" applyFill="1" applyAlignment="1">
      <alignment horizontal="right" vertical="center"/>
    </xf>
    <xf numFmtId="0" fontId="18" fillId="8" borderId="21" xfId="0" applyFont="1" applyFill="1" applyBorder="1" applyAlignment="1">
      <alignment horizontal="justify" vertical="center"/>
    </xf>
    <xf numFmtId="0" fontId="18" fillId="8" borderId="0" xfId="0" applyFont="1" applyFill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" fillId="0" borderId="0" xfId="0" applyFont="1"/>
    <xf numFmtId="0" fontId="9" fillId="3" borderId="0" xfId="0" applyFont="1" applyFill="1" applyBorder="1" applyAlignment="1">
      <alignment horizontal="justify" vertical="center" wrapText="1"/>
    </xf>
    <xf numFmtId="0" fontId="9" fillId="3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10" xfId="0" applyFill="1" applyBorder="1"/>
    <xf numFmtId="0" fontId="0" fillId="0" borderId="19" xfId="0" applyBorder="1"/>
    <xf numFmtId="2" fontId="0" fillId="6" borderId="9" xfId="0" applyNumberFormat="1" applyFill="1" applyBorder="1"/>
    <xf numFmtId="2" fontId="0" fillId="6" borderId="10" xfId="0" applyNumberFormat="1" applyFill="1" applyBorder="1"/>
    <xf numFmtId="2" fontId="0" fillId="6" borderId="19" xfId="0" applyNumberFormat="1" applyFill="1" applyBorder="1"/>
    <xf numFmtId="2" fontId="0" fillId="0" borderId="10" xfId="0" applyNumberFormat="1" applyFill="1" applyBorder="1"/>
    <xf numFmtId="0" fontId="9" fillId="3" borderId="20" xfId="0" applyFont="1" applyFill="1" applyBorder="1" applyAlignment="1">
      <alignment vertical="center" wrapText="1"/>
    </xf>
    <xf numFmtId="2" fontId="0" fillId="6" borderId="11" xfId="0" applyNumberFormat="1" applyFill="1" applyBorder="1"/>
    <xf numFmtId="2" fontId="0" fillId="6" borderId="12" xfId="0" applyNumberFormat="1" applyFill="1" applyBorder="1"/>
    <xf numFmtId="1" fontId="22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/>
    <xf numFmtId="1" fontId="22" fillId="0" borderId="0" xfId="0" applyNumberFormat="1" applyFont="1"/>
    <xf numFmtId="164" fontId="21" fillId="0" borderId="0" xfId="1" applyNumberFormat="1" applyFont="1" applyFill="1" applyBorder="1"/>
    <xf numFmtId="2" fontId="0" fillId="0" borderId="12" xfId="0" applyNumberFormat="1" applyBorder="1"/>
    <xf numFmtId="2" fontId="0" fillId="0" borderId="10" xfId="0" applyNumberFormat="1" applyBorder="1"/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/>
    </xf>
    <xf numFmtId="0" fontId="9" fillId="2" borderId="2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8" fillId="0" borderId="0" xfId="0" applyFont="1" applyAlignment="1"/>
    <xf numFmtId="0" fontId="9" fillId="3" borderId="12" xfId="0" applyFont="1" applyFill="1" applyBorder="1" applyAlignment="1">
      <alignment vertical="center" wrapText="1"/>
    </xf>
    <xf numFmtId="0" fontId="0" fillId="0" borderId="11" xfId="0" applyFill="1" applyBorder="1"/>
    <xf numFmtId="0" fontId="9" fillId="3" borderId="11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justify" vertical="center" wrapText="1"/>
    </xf>
    <xf numFmtId="0" fontId="9" fillId="2" borderId="29" xfId="0" applyFont="1" applyFill="1" applyBorder="1" applyAlignment="1">
      <alignment horizontal="justify" vertical="center" wrapText="1"/>
    </xf>
    <xf numFmtId="0" fontId="9" fillId="3" borderId="28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9" fillId="2" borderId="31" xfId="0" applyFont="1" applyFill="1" applyBorder="1" applyAlignment="1">
      <alignment horizontal="justify" vertical="center" wrapText="1"/>
    </xf>
    <xf numFmtId="0" fontId="9" fillId="3" borderId="26" xfId="0" applyFont="1" applyFill="1" applyBorder="1" applyAlignment="1">
      <alignment horizontal="justify" vertical="center" wrapText="1"/>
    </xf>
    <xf numFmtId="0" fontId="9" fillId="2" borderId="30" xfId="0" applyFont="1" applyFill="1" applyBorder="1" applyAlignment="1">
      <alignment vertical="center" wrapText="1"/>
    </xf>
    <xf numFmtId="0" fontId="9" fillId="3" borderId="32" xfId="0" applyFont="1" applyFill="1" applyBorder="1" applyAlignment="1">
      <alignment vertical="center" wrapText="1"/>
    </xf>
    <xf numFmtId="0" fontId="9" fillId="3" borderId="33" xfId="0" applyFont="1" applyFill="1" applyBorder="1" applyAlignment="1">
      <alignment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65" fontId="0" fillId="0" borderId="12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6" fontId="21" fillId="0" borderId="0" xfId="0" applyNumberFormat="1" applyFont="1" applyFill="1" applyBorder="1"/>
    <xf numFmtId="0" fontId="24" fillId="0" borderId="0" xfId="0" applyFont="1" applyAlignment="1"/>
    <xf numFmtId="0" fontId="23" fillId="0" borderId="0" xfId="0" applyFont="1"/>
    <xf numFmtId="0" fontId="0" fillId="0" borderId="38" xfId="0" applyBorder="1" applyAlignment="1"/>
    <xf numFmtId="0" fontId="0" fillId="0" borderId="16" xfId="0" applyBorder="1" applyAlignment="1">
      <alignment horizontal="right"/>
    </xf>
    <xf numFmtId="0" fontId="0" fillId="0" borderId="39" xfId="0" applyBorder="1"/>
    <xf numFmtId="0" fontId="0" fillId="0" borderId="20" xfId="0" applyBorder="1" applyAlignment="1"/>
    <xf numFmtId="0" fontId="0" fillId="0" borderId="0" xfId="0" applyBorder="1" applyAlignment="1">
      <alignment horizontal="right"/>
    </xf>
    <xf numFmtId="0" fontId="0" fillId="6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1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41" xfId="0" applyFont="1" applyBorder="1"/>
    <xf numFmtId="0" fontId="0" fillId="0" borderId="37" xfId="0" applyBorder="1" applyAlignment="1"/>
    <xf numFmtId="0" fontId="2" fillId="0" borderId="18" xfId="0" applyFont="1" applyBorder="1"/>
    <xf numFmtId="0" fontId="2" fillId="0" borderId="18" xfId="0" applyFont="1" applyBorder="1" applyAlignment="1">
      <alignment horizontal="right"/>
    </xf>
    <xf numFmtId="0" fontId="2" fillId="0" borderId="40" xfId="0" applyFont="1" applyBorder="1"/>
    <xf numFmtId="0" fontId="9" fillId="3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0" fillId="0" borderId="0" xfId="0" applyBorder="1" applyAlignment="1">
      <alignment horizontal="left" wrapText="1"/>
    </xf>
    <xf numFmtId="0" fontId="6" fillId="11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8" fillId="8" borderId="0" xfId="0" applyFont="1" applyFill="1" applyAlignment="1">
      <alignment horizontal="left" vertical="center"/>
    </xf>
    <xf numFmtId="0" fontId="18" fillId="8" borderId="2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25" fillId="0" borderId="0" xfId="2" applyFont="1" applyAlignment="1">
      <alignment wrapText="1"/>
    </xf>
    <xf numFmtId="0" fontId="25" fillId="0" borderId="0" xfId="2"/>
    <xf numFmtId="0" fontId="25" fillId="0" borderId="42" xfId="2" applyBorder="1"/>
    <xf numFmtId="0" fontId="25" fillId="0" borderId="42" xfId="2" applyFont="1" applyBorder="1"/>
    <xf numFmtId="0" fontId="25" fillId="0" borderId="42" xfId="2" applyFont="1" applyBorder="1" applyAlignment="1">
      <alignment wrapText="1"/>
    </xf>
    <xf numFmtId="0" fontId="25" fillId="0" borderId="42" xfId="2" applyFont="1" applyBorder="1" applyAlignment="1">
      <alignment wrapText="1"/>
    </xf>
    <xf numFmtId="0" fontId="25" fillId="0" borderId="42" xfId="2" applyBorder="1" applyAlignment="1">
      <alignment wrapText="1"/>
    </xf>
    <xf numFmtId="0" fontId="25" fillId="0" borderId="0" xfId="2" applyBorder="1"/>
    <xf numFmtId="167" fontId="25" fillId="0" borderId="42" xfId="2" applyNumberFormat="1" applyBorder="1"/>
    <xf numFmtId="0" fontId="25" fillId="0" borderId="0" xfId="2" applyFont="1"/>
    <xf numFmtId="0" fontId="25" fillId="0" borderId="42" xfId="2" applyFont="1" applyBorder="1" applyAlignment="1">
      <alignment horizontal="center" wrapText="1"/>
    </xf>
    <xf numFmtId="0" fontId="25" fillId="0" borderId="42" xfId="2" applyBorder="1" applyAlignment="1">
      <alignment horizontal="center"/>
    </xf>
    <xf numFmtId="0" fontId="25" fillId="0" borderId="43" xfId="2" applyBorder="1" applyAlignment="1">
      <alignment horizontal="center"/>
    </xf>
    <xf numFmtId="0" fontId="25" fillId="0" borderId="44" xfId="2" applyBorder="1" applyAlignment="1">
      <alignment horizontal="center"/>
    </xf>
    <xf numFmtId="0" fontId="25" fillId="0" borderId="45" xfId="2" applyBorder="1" applyAlignment="1">
      <alignment horizontal="center"/>
    </xf>
    <xf numFmtId="0" fontId="25" fillId="0" borderId="43" xfId="2" applyBorder="1" applyAlignment="1">
      <alignment horizontal="left"/>
    </xf>
    <xf numFmtId="0" fontId="25" fillId="0" borderId="44" xfId="2" applyBorder="1" applyAlignment="1">
      <alignment horizontal="left"/>
    </xf>
    <xf numFmtId="0" fontId="25" fillId="0" borderId="45" xfId="2" applyBorder="1" applyAlignment="1">
      <alignment horizontal="left"/>
    </xf>
    <xf numFmtId="0" fontId="25" fillId="0" borderId="38" xfId="2" applyBorder="1" applyAlignment="1">
      <alignment vertical="justify" wrapText="1"/>
    </xf>
    <xf numFmtId="0" fontId="25" fillId="0" borderId="39" xfId="2" applyBorder="1" applyAlignment="1">
      <alignment vertical="justify" wrapText="1"/>
    </xf>
    <xf numFmtId="0" fontId="25" fillId="0" borderId="42" xfId="2" applyFont="1" applyBorder="1" applyAlignment="1">
      <alignment horizontal="left" wrapText="1"/>
    </xf>
    <xf numFmtId="0" fontId="25" fillId="0" borderId="37" xfId="2" applyBorder="1" applyAlignment="1">
      <alignment vertical="justify" wrapText="1"/>
    </xf>
    <xf numFmtId="0" fontId="25" fillId="0" borderId="40" xfId="2" applyBorder="1" applyAlignment="1">
      <alignment vertical="justify" wrapText="1"/>
    </xf>
    <xf numFmtId="0" fontId="25" fillId="0" borderId="42" xfId="2" applyBorder="1" applyAlignment="1">
      <alignment horizontal="left"/>
    </xf>
    <xf numFmtId="0" fontId="25" fillId="0" borderId="0" xfId="2" applyAlignment="1">
      <alignment horizontal="center" vertical="center" textRotation="90"/>
    </xf>
    <xf numFmtId="0" fontId="27" fillId="0" borderId="0" xfId="2" applyFont="1"/>
    <xf numFmtId="0" fontId="25" fillId="12" borderId="0" xfId="2" applyFill="1"/>
    <xf numFmtId="0" fontId="25" fillId="0" borderId="0" xfId="2" applyFont="1"/>
    <xf numFmtId="0" fontId="25" fillId="0" borderId="0" xfId="2" applyBorder="1" applyAlignment="1">
      <alignment wrapText="1"/>
    </xf>
    <xf numFmtId="0" fontId="25" fillId="0" borderId="0" xfId="2" applyFont="1" applyBorder="1" applyAlignment="1">
      <alignment wrapText="1"/>
    </xf>
    <xf numFmtId="0" fontId="28" fillId="0" borderId="0" xfId="3" applyAlignment="1" applyProtection="1"/>
    <xf numFmtId="0" fontId="25" fillId="0" borderId="0" xfId="2" applyFill="1" applyBorder="1"/>
    <xf numFmtId="0" fontId="25" fillId="0" borderId="18" xfId="2" applyBorder="1"/>
    <xf numFmtId="0" fontId="25" fillId="0" borderId="0" xfId="2" applyFill="1" applyBorder="1" applyAlignment="1">
      <alignment horizontal="center" vertical="center"/>
    </xf>
    <xf numFmtId="0" fontId="25" fillId="0" borderId="0" xfId="2" applyAlignment="1">
      <alignment wrapText="1"/>
    </xf>
    <xf numFmtId="0" fontId="25" fillId="0" borderId="0" xfId="2" applyAlignment="1">
      <alignment horizontal="center" wrapText="1"/>
    </xf>
    <xf numFmtId="0" fontId="26" fillId="0" borderId="0" xfId="2" applyFont="1"/>
    <xf numFmtId="2" fontId="25" fillId="0" borderId="0" xfId="2" applyNumberFormat="1"/>
    <xf numFmtId="166" fontId="25" fillId="0" borderId="0" xfId="2" applyNumberFormat="1"/>
  </cellXfs>
  <cellStyles count="4">
    <cellStyle name="Link" xfId="3" builtinId="8"/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</xdr:col>
      <xdr:colOff>47625</xdr:colOff>
      <xdr:row>70</xdr:row>
      <xdr:rowOff>48260</xdr:rowOff>
    </xdr:to>
    <xdr:grpSp>
      <xdr:nvGrpSpPr>
        <xdr:cNvPr id="12" name="Group 92415"/>
        <xdr:cNvGrpSpPr/>
      </xdr:nvGrpSpPr>
      <xdr:grpSpPr>
        <a:xfrm>
          <a:off x="1120588" y="15273618"/>
          <a:ext cx="47625" cy="48260"/>
          <a:chOff x="0" y="0"/>
          <a:chExt cx="47752" cy="48433"/>
        </a:xfrm>
      </xdr:grpSpPr>
      <xdr:sp macro="" textlink="">
        <xdr:nvSpPr>
          <xdr:cNvPr id="13" name="Shape 103704"/>
          <xdr:cNvSpPr/>
        </xdr:nvSpPr>
        <xdr:spPr>
          <a:xfrm>
            <a:off x="0" y="41943"/>
            <a:ext cx="47752" cy="9144"/>
          </a:xfrm>
          <a:custGeom>
            <a:avLst/>
            <a:gdLst/>
            <a:ahLst/>
            <a:cxnLst/>
            <a:rect l="0" t="0" r="0" b="0"/>
            <a:pathLst>
              <a:path w="47752" h="9144">
                <a:moveTo>
                  <a:pt x="0" y="0"/>
                </a:moveTo>
                <a:lnTo>
                  <a:pt x="47752" y="0"/>
                </a:lnTo>
                <a:lnTo>
                  <a:pt x="47752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4" name="Shape 103705"/>
          <xdr:cNvSpPr/>
        </xdr:nvSpPr>
        <xdr:spPr>
          <a:xfrm>
            <a:off x="0" y="26906"/>
            <a:ext cx="47752" cy="9144"/>
          </a:xfrm>
          <a:custGeom>
            <a:avLst/>
            <a:gdLst/>
            <a:ahLst/>
            <a:cxnLst/>
            <a:rect l="0" t="0" r="0" b="0"/>
            <a:pathLst>
              <a:path w="47752" h="9144">
                <a:moveTo>
                  <a:pt x="0" y="0"/>
                </a:moveTo>
                <a:lnTo>
                  <a:pt x="47752" y="0"/>
                </a:lnTo>
                <a:lnTo>
                  <a:pt x="47752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5" name="Shape 8345"/>
          <xdr:cNvSpPr/>
        </xdr:nvSpPr>
        <xdr:spPr>
          <a:xfrm>
            <a:off x="1054" y="0"/>
            <a:ext cx="45644" cy="15443"/>
          </a:xfrm>
          <a:custGeom>
            <a:avLst/>
            <a:gdLst/>
            <a:ahLst/>
            <a:cxnLst/>
            <a:rect l="0" t="0" r="0" b="0"/>
            <a:pathLst>
              <a:path w="45644" h="15443">
                <a:moveTo>
                  <a:pt x="45644" y="15443"/>
                </a:moveTo>
                <a:lnTo>
                  <a:pt x="22466" y="0"/>
                </a:lnTo>
                <a:lnTo>
                  <a:pt x="0" y="14325"/>
                </a:lnTo>
              </a:path>
            </a:pathLst>
          </a:custGeom>
          <a:ln w="6350" cap="flat">
            <a:miter lim="100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de-DE"/>
          </a:p>
        </xdr:txBody>
      </xdr:sp>
    </xdr:grp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47625</xdr:colOff>
      <xdr:row>71</xdr:row>
      <xdr:rowOff>48260</xdr:rowOff>
    </xdr:to>
    <xdr:grpSp>
      <xdr:nvGrpSpPr>
        <xdr:cNvPr id="16" name="Group 92416"/>
        <xdr:cNvGrpSpPr/>
      </xdr:nvGrpSpPr>
      <xdr:grpSpPr>
        <a:xfrm>
          <a:off x="1120588" y="15486529"/>
          <a:ext cx="47625" cy="48260"/>
          <a:chOff x="0" y="0"/>
          <a:chExt cx="47752" cy="48433"/>
        </a:xfrm>
      </xdr:grpSpPr>
      <xdr:sp macro="" textlink="">
        <xdr:nvSpPr>
          <xdr:cNvPr id="17" name="Shape 103706"/>
          <xdr:cNvSpPr/>
        </xdr:nvSpPr>
        <xdr:spPr>
          <a:xfrm>
            <a:off x="0" y="41943"/>
            <a:ext cx="47752" cy="9144"/>
          </a:xfrm>
          <a:custGeom>
            <a:avLst/>
            <a:gdLst/>
            <a:ahLst/>
            <a:cxnLst/>
            <a:rect l="0" t="0" r="0" b="0"/>
            <a:pathLst>
              <a:path w="47752" h="9144">
                <a:moveTo>
                  <a:pt x="0" y="0"/>
                </a:moveTo>
                <a:lnTo>
                  <a:pt x="47752" y="0"/>
                </a:lnTo>
                <a:lnTo>
                  <a:pt x="47752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8" name="Shape 103707"/>
          <xdr:cNvSpPr/>
        </xdr:nvSpPr>
        <xdr:spPr>
          <a:xfrm>
            <a:off x="0" y="26906"/>
            <a:ext cx="47752" cy="9144"/>
          </a:xfrm>
          <a:custGeom>
            <a:avLst/>
            <a:gdLst/>
            <a:ahLst/>
            <a:cxnLst/>
            <a:rect l="0" t="0" r="0" b="0"/>
            <a:pathLst>
              <a:path w="47752" h="9144">
                <a:moveTo>
                  <a:pt x="0" y="0"/>
                </a:moveTo>
                <a:lnTo>
                  <a:pt x="47752" y="0"/>
                </a:lnTo>
                <a:lnTo>
                  <a:pt x="47752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9" name="Shape 8352"/>
          <xdr:cNvSpPr/>
        </xdr:nvSpPr>
        <xdr:spPr>
          <a:xfrm>
            <a:off x="1051" y="0"/>
            <a:ext cx="45644" cy="15443"/>
          </a:xfrm>
          <a:custGeom>
            <a:avLst/>
            <a:gdLst/>
            <a:ahLst/>
            <a:cxnLst/>
            <a:rect l="0" t="0" r="0" b="0"/>
            <a:pathLst>
              <a:path w="45644" h="15443">
                <a:moveTo>
                  <a:pt x="45644" y="15443"/>
                </a:moveTo>
                <a:lnTo>
                  <a:pt x="22466" y="0"/>
                </a:lnTo>
                <a:lnTo>
                  <a:pt x="0" y="14325"/>
                </a:lnTo>
              </a:path>
            </a:pathLst>
          </a:custGeom>
          <a:ln w="6350" cap="flat">
            <a:miter lim="100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de-D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1"/>
  <sheetViews>
    <sheetView tabSelected="1" topLeftCell="A23" zoomScale="85" zoomScaleNormal="85" workbookViewId="0">
      <selection activeCell="F56" sqref="F56"/>
    </sheetView>
  </sheetViews>
  <sheetFormatPr baseColWidth="10" defaultColWidth="62.7109375" defaultRowHeight="15" x14ac:dyDescent="0.25"/>
  <cols>
    <col min="1" max="1" width="16.85546875" customWidth="1"/>
    <col min="2" max="2" width="71.5703125" style="51" customWidth="1"/>
    <col min="3" max="4" width="11.7109375" customWidth="1"/>
    <col min="5" max="5" width="1.5703125" customWidth="1"/>
    <col min="6" max="6" width="11.7109375" customWidth="1"/>
    <col min="7" max="7" width="12" customWidth="1"/>
    <col min="8" max="8" width="12.140625" customWidth="1"/>
    <col min="9" max="13" width="11.7109375" customWidth="1"/>
    <col min="14" max="14" width="14.28515625" customWidth="1"/>
    <col min="15" max="15" width="12.42578125" customWidth="1"/>
    <col min="16" max="20" width="15.28515625" customWidth="1"/>
    <col min="21" max="21" width="3.85546875" customWidth="1"/>
    <col min="22" max="27" width="12.5703125" customWidth="1"/>
    <col min="28" max="29" width="3.85546875" customWidth="1"/>
    <col min="30" max="35" width="12.5703125" customWidth="1"/>
    <col min="36" max="37" width="3.85546875" customWidth="1"/>
    <col min="38" max="43" width="12.5703125" customWidth="1"/>
    <col min="44" max="45" width="3.85546875" customWidth="1"/>
    <col min="46" max="51" width="12.5703125" customWidth="1"/>
    <col min="52" max="53" width="3.85546875" customWidth="1"/>
    <col min="54" max="61" width="12.5703125" customWidth="1"/>
    <col min="62" max="63" width="3.85546875" customWidth="1"/>
    <col min="64" max="64" width="8.42578125" customWidth="1"/>
  </cols>
  <sheetData>
    <row r="1" spans="1:61" ht="31.5" customHeight="1" thickBot="1" x14ac:dyDescent="0.3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42"/>
      <c r="V1" s="157" t="s">
        <v>161</v>
      </c>
      <c r="W1" s="157"/>
      <c r="X1" s="157"/>
      <c r="Y1" s="157"/>
      <c r="Z1" s="157"/>
      <c r="AA1" s="157"/>
      <c r="AD1" s="157" t="s">
        <v>159</v>
      </c>
      <c r="AE1" s="157"/>
      <c r="AF1" s="157"/>
      <c r="AG1" s="157"/>
      <c r="AH1" s="157"/>
      <c r="AI1" s="157"/>
      <c r="AL1" s="157" t="s">
        <v>160</v>
      </c>
      <c r="AM1" s="157"/>
      <c r="AN1" s="157"/>
      <c r="AO1" s="157"/>
      <c r="AP1" s="157"/>
      <c r="AQ1" s="157"/>
      <c r="AT1" s="157" t="s">
        <v>157</v>
      </c>
      <c r="AU1" s="157"/>
      <c r="AV1" s="157"/>
      <c r="AW1" s="157"/>
      <c r="AX1" s="157"/>
      <c r="AY1" s="157"/>
      <c r="BB1" s="157" t="s">
        <v>158</v>
      </c>
      <c r="BC1" s="157"/>
      <c r="BD1" s="157"/>
      <c r="BE1" s="157"/>
      <c r="BF1" s="157"/>
      <c r="BG1" s="157"/>
      <c r="BH1" s="157"/>
      <c r="BI1" s="136"/>
    </row>
    <row r="2" spans="1:61" ht="31.5" customHeight="1" x14ac:dyDescent="0.25">
      <c r="A2" s="148"/>
      <c r="B2" s="150" t="s">
        <v>1</v>
      </c>
      <c r="C2" s="140" t="s">
        <v>142</v>
      </c>
      <c r="D2" s="152" t="s">
        <v>3</v>
      </c>
      <c r="E2" s="33"/>
      <c r="F2" s="41" t="s">
        <v>51</v>
      </c>
      <c r="G2" s="34" t="s">
        <v>2</v>
      </c>
      <c r="H2" s="34" t="s">
        <v>2</v>
      </c>
      <c r="I2" s="34" t="s">
        <v>37</v>
      </c>
      <c r="J2" s="146" t="s">
        <v>28</v>
      </c>
      <c r="K2" s="34" t="s">
        <v>53</v>
      </c>
      <c r="L2" s="34" t="s">
        <v>53</v>
      </c>
      <c r="M2" s="34" t="s">
        <v>138</v>
      </c>
      <c r="N2" s="34" t="s">
        <v>138</v>
      </c>
      <c r="O2" s="44" t="s">
        <v>60</v>
      </c>
      <c r="P2" s="47" t="s">
        <v>58</v>
      </c>
      <c r="Q2" s="47"/>
      <c r="R2" s="47"/>
      <c r="S2" s="47"/>
      <c r="T2" s="47"/>
      <c r="U2" s="47"/>
      <c r="V2" s="41" t="s">
        <v>51</v>
      </c>
      <c r="W2" s="34" t="s">
        <v>2</v>
      </c>
      <c r="X2" s="34" t="s">
        <v>53</v>
      </c>
      <c r="Y2" s="34" t="s">
        <v>53</v>
      </c>
      <c r="Z2" s="34" t="s">
        <v>138</v>
      </c>
      <c r="AA2" s="34" t="s">
        <v>138</v>
      </c>
      <c r="AC2" s="47"/>
      <c r="AD2" s="41" t="s">
        <v>51</v>
      </c>
      <c r="AE2" s="34" t="s">
        <v>2</v>
      </c>
      <c r="AF2" s="34" t="s">
        <v>53</v>
      </c>
      <c r="AG2" s="34" t="s">
        <v>53</v>
      </c>
      <c r="AH2" s="34" t="s">
        <v>138</v>
      </c>
      <c r="AI2" s="34" t="s">
        <v>138</v>
      </c>
      <c r="AK2" s="47"/>
      <c r="AL2" s="41" t="s">
        <v>51</v>
      </c>
      <c r="AM2" s="34" t="s">
        <v>2</v>
      </c>
      <c r="AN2" s="34" t="s">
        <v>53</v>
      </c>
      <c r="AO2" s="34" t="s">
        <v>53</v>
      </c>
      <c r="AP2" s="34" t="s">
        <v>138</v>
      </c>
      <c r="AQ2" s="34" t="s">
        <v>138</v>
      </c>
      <c r="AS2" s="47"/>
      <c r="AT2" s="41" t="s">
        <v>51</v>
      </c>
      <c r="AU2" s="34" t="s">
        <v>2</v>
      </c>
      <c r="AV2" s="34" t="s">
        <v>53</v>
      </c>
      <c r="AW2" s="34" t="s">
        <v>53</v>
      </c>
      <c r="AX2" s="34" t="s">
        <v>138</v>
      </c>
      <c r="AY2" s="34" t="s">
        <v>138</v>
      </c>
      <c r="BA2" s="47"/>
      <c r="BB2" s="41" t="s">
        <v>51</v>
      </c>
      <c r="BC2" s="34" t="s">
        <v>2</v>
      </c>
      <c r="BD2" s="34" t="s">
        <v>53</v>
      </c>
      <c r="BG2" s="34" t="s">
        <v>53</v>
      </c>
      <c r="BH2" s="34" t="s">
        <v>138</v>
      </c>
      <c r="BI2" s="34" t="s">
        <v>138</v>
      </c>
    </row>
    <row r="3" spans="1:61" ht="31.5" customHeight="1" thickBot="1" x14ac:dyDescent="0.3">
      <c r="A3" s="149"/>
      <c r="B3" s="151"/>
      <c r="C3" s="141"/>
      <c r="D3" s="153"/>
      <c r="E3" s="28"/>
      <c r="F3" s="42" t="s">
        <v>52</v>
      </c>
      <c r="G3" s="1" t="s">
        <v>35</v>
      </c>
      <c r="H3" s="1" t="s">
        <v>36</v>
      </c>
      <c r="I3" s="1" t="s">
        <v>38</v>
      </c>
      <c r="J3" s="147"/>
      <c r="K3" s="1" t="s">
        <v>54</v>
      </c>
      <c r="L3" s="1" t="s">
        <v>54</v>
      </c>
      <c r="M3" s="110" t="s">
        <v>139</v>
      </c>
      <c r="N3" s="1" t="s">
        <v>140</v>
      </c>
      <c r="O3" s="1" t="s">
        <v>54</v>
      </c>
      <c r="V3" s="42" t="s">
        <v>52</v>
      </c>
      <c r="W3" s="1" t="s">
        <v>36</v>
      </c>
      <c r="X3" s="1" t="s">
        <v>54</v>
      </c>
      <c r="Y3" s="1" t="s">
        <v>54</v>
      </c>
      <c r="Z3" s="137" t="s">
        <v>139</v>
      </c>
      <c r="AA3" s="1" t="s">
        <v>140</v>
      </c>
      <c r="AD3" s="42" t="s">
        <v>52</v>
      </c>
      <c r="AE3" s="1" t="s">
        <v>36</v>
      </c>
      <c r="AF3" s="1" t="s">
        <v>54</v>
      </c>
      <c r="AG3" s="1" t="s">
        <v>54</v>
      </c>
      <c r="AH3" s="137" t="s">
        <v>139</v>
      </c>
      <c r="AI3" s="1" t="s">
        <v>140</v>
      </c>
      <c r="AL3" s="42" t="s">
        <v>52</v>
      </c>
      <c r="AM3" s="1" t="s">
        <v>36</v>
      </c>
      <c r="AN3" s="1" t="s">
        <v>54</v>
      </c>
      <c r="AO3" s="1" t="s">
        <v>54</v>
      </c>
      <c r="AP3" s="137" t="s">
        <v>139</v>
      </c>
      <c r="AQ3" s="1" t="s">
        <v>140</v>
      </c>
      <c r="AT3" s="42" t="s">
        <v>52</v>
      </c>
      <c r="AU3" s="1" t="s">
        <v>36</v>
      </c>
      <c r="AV3" s="1" t="s">
        <v>54</v>
      </c>
      <c r="AW3" s="1" t="s">
        <v>54</v>
      </c>
      <c r="AX3" s="137" t="s">
        <v>139</v>
      </c>
      <c r="AY3" s="1" t="s">
        <v>140</v>
      </c>
      <c r="BB3" s="42" t="s">
        <v>52</v>
      </c>
      <c r="BC3" s="1" t="s">
        <v>36</v>
      </c>
      <c r="BD3" s="1" t="s">
        <v>54</v>
      </c>
      <c r="BG3" s="1" t="s">
        <v>54</v>
      </c>
      <c r="BH3" s="137" t="s">
        <v>139</v>
      </c>
      <c r="BI3" s="1" t="s">
        <v>140</v>
      </c>
    </row>
    <row r="4" spans="1:61" ht="15.75" thickBot="1" x14ac:dyDescent="0.3">
      <c r="A4" s="154" t="s">
        <v>4</v>
      </c>
      <c r="B4" s="83" t="s">
        <v>5</v>
      </c>
      <c r="C4" s="3">
        <v>0.20100000000000001</v>
      </c>
      <c r="D4" s="94" t="s">
        <v>6</v>
      </c>
      <c r="E4" s="35"/>
      <c r="F4" s="14">
        <v>26448.000000000004</v>
      </c>
      <c r="G4" s="15">
        <f>IF(F4&gt;0.1,ROUND(C4*F4,3),"")</f>
        <v>5316.0479999999998</v>
      </c>
      <c r="H4" s="15">
        <f>IF(F4&gt;0.1,ROUND((C4*F4)/1000,3),"")</f>
        <v>5.3159999999999998</v>
      </c>
      <c r="I4" s="24">
        <f t="shared" ref="I4:I17" si="0">1000/C4</f>
        <v>4975.1243781094527</v>
      </c>
      <c r="J4" s="18" t="s">
        <v>39</v>
      </c>
      <c r="K4" s="65">
        <v>0.08</v>
      </c>
      <c r="L4" s="15">
        <f t="shared" ref="L4:L26" si="1">IF(F4&gt;0.2,ROUND(F4*K4,3),"")</f>
        <v>2115.84</v>
      </c>
      <c r="M4" s="15">
        <f t="shared" ref="M4:M26" si="2">IF(F4&gt;0.2,ROUND(H4*LEFT($M$3,3),3),"")</f>
        <v>956.88</v>
      </c>
      <c r="N4" s="15">
        <f t="shared" ref="N4:N23" si="3">IF(F4&gt;0.2,ROUND(M4/F4,3),"")</f>
        <v>3.5999999999999997E-2</v>
      </c>
      <c r="O4" s="15">
        <v>150</v>
      </c>
      <c r="V4" s="14"/>
      <c r="W4" s="15" t="str">
        <f>IF(V4&gt;0.1,ROUND(($C4*V4)/1000,3),"")</f>
        <v/>
      </c>
      <c r="X4" s="65">
        <v>0.08</v>
      </c>
      <c r="Y4" s="15" t="str">
        <f t="shared" ref="Y4:Y26" si="4">IF(V4&gt;0.2,ROUND(V4*X4,3),"")</f>
        <v/>
      </c>
      <c r="Z4" s="15" t="str">
        <f t="shared" ref="Z4:Z26" si="5">IF(V4&gt;0.2,ROUND(W4*LEFT($M$3,3),3),"")</f>
        <v/>
      </c>
      <c r="AA4" s="15" t="str">
        <f t="shared" ref="AA4:AA26" si="6">IF(V4&gt;0.2,ROUND(Z4/V4,3),"")</f>
        <v/>
      </c>
      <c r="AD4" s="14"/>
      <c r="AE4" s="15" t="str">
        <f>IF(AD4&gt;0.1,ROUND(($C4*AD4)/1000,3),"")</f>
        <v/>
      </c>
      <c r="AF4" s="65">
        <v>0.08</v>
      </c>
      <c r="AG4" s="15" t="str">
        <f t="shared" ref="AG4:AG26" si="7">IF(AD4&gt;0.2,ROUND(AD4*AF4,3),"")</f>
        <v/>
      </c>
      <c r="AH4" s="15" t="str">
        <f t="shared" ref="AH4:AH26" si="8">IF(AD4&gt;0.2,ROUND(AE4*LEFT($M$3,3),3),"")</f>
        <v/>
      </c>
      <c r="AI4" s="15" t="str">
        <f t="shared" ref="AI4:AI26" si="9">IF(AD4&gt;0.2,ROUND(AH4/AD4,3),"")</f>
        <v/>
      </c>
      <c r="AL4" s="14"/>
      <c r="AM4" s="15" t="str">
        <f>IF(AL4&gt;0.1,ROUND(($C4*AL4)/1000,3),"")</f>
        <v/>
      </c>
      <c r="AN4" s="65">
        <v>0.08</v>
      </c>
      <c r="AO4" s="15" t="str">
        <f t="shared" ref="AO4:AO26" si="10">IF(AL4&gt;0.2,ROUND(AL4*AN4,3),"")</f>
        <v/>
      </c>
      <c r="AP4" s="15" t="str">
        <f t="shared" ref="AP4:AP26" si="11">IF(AL4&gt;0.2,ROUND(AM4*LEFT($M$3,3),3),"")</f>
        <v/>
      </c>
      <c r="AQ4" s="15" t="str">
        <f t="shared" ref="AQ4:AQ26" si="12">IF(AL4&gt;0.2,ROUND(AP4/AL4,3),"")</f>
        <v/>
      </c>
      <c r="AT4" s="14"/>
      <c r="AU4" s="15" t="str">
        <f>IF(AT4&gt;0.1,ROUND(($C4*AT4)/1000,3),"")</f>
        <v/>
      </c>
      <c r="AV4" s="65">
        <v>0.08</v>
      </c>
      <c r="AW4" s="15" t="str">
        <f t="shared" ref="AW4:AW26" si="13">IF(AT4&gt;0.2,ROUND(AT4*AV4,3),"")</f>
        <v/>
      </c>
      <c r="AX4" s="15" t="str">
        <f t="shared" ref="AX4:AX26" si="14">IF(AT4&gt;0.2,ROUND(AU4*LEFT($M$3,3),3),"")</f>
        <v/>
      </c>
      <c r="AY4" s="15" t="str">
        <f t="shared" ref="AY4:AY26" si="15">IF(AT4&gt;0.2,ROUND(AX4/AT4,3),"")</f>
        <v/>
      </c>
      <c r="BB4" s="14"/>
      <c r="BC4" s="15" t="str">
        <f>IF(BB4&gt;0.1,ROUND(($C4*BB4)/1000,3),"")</f>
        <v/>
      </c>
      <c r="BD4" s="65">
        <v>0.08</v>
      </c>
      <c r="BE4" s="15"/>
      <c r="BF4" s="15"/>
      <c r="BG4" s="15" t="str">
        <f t="shared" ref="BG4:BG26" si="16">IF(BB4&gt;0.2,ROUND(BB4*BD4,3),"")</f>
        <v/>
      </c>
      <c r="BH4" s="15" t="str">
        <f t="shared" ref="BH4:BH26" si="17">IF(BB4&gt;0.2,ROUND(BC4*LEFT($M$3,3),3),"")</f>
        <v/>
      </c>
      <c r="BI4" s="15" t="str">
        <f t="shared" ref="BI4:BI26" si="18">IF(BB4&gt;0.2,ROUND(BH4/BB4,3),"")</f>
        <v/>
      </c>
    </row>
    <row r="5" spans="1:61" ht="15.75" thickBot="1" x14ac:dyDescent="0.3">
      <c r="A5" s="154"/>
      <c r="B5" s="87" t="s">
        <v>120</v>
      </c>
      <c r="C5" s="4">
        <v>0.182</v>
      </c>
      <c r="D5" s="95" t="s">
        <v>6</v>
      </c>
      <c r="E5" s="35"/>
      <c r="F5" s="14">
        <v>26448.000000000004</v>
      </c>
      <c r="G5" s="15">
        <f t="shared" ref="G5:G24" si="19">IF(F5&gt;0.1,ROUND(C5*F5,3),"")</f>
        <v>4813.5360000000001</v>
      </c>
      <c r="H5" s="15">
        <f t="shared" ref="H5:H24" si="20">IF(F5&gt;0.1,ROUND((C5*F5)/1000,3),"")</f>
        <v>4.8140000000000001</v>
      </c>
      <c r="I5" s="25">
        <f t="shared" si="0"/>
        <v>5494.5054945054944</v>
      </c>
      <c r="J5" s="19" t="s">
        <v>39</v>
      </c>
      <c r="K5" s="66">
        <v>0.08</v>
      </c>
      <c r="L5" s="15">
        <f t="shared" si="1"/>
        <v>2115.84</v>
      </c>
      <c r="M5" s="15">
        <f t="shared" si="2"/>
        <v>866.52</v>
      </c>
      <c r="N5" s="15">
        <f t="shared" si="3"/>
        <v>3.3000000000000002E-2</v>
      </c>
      <c r="O5" s="15">
        <v>150</v>
      </c>
      <c r="P5">
        <v>20000</v>
      </c>
      <c r="V5" s="14">
        <v>25000</v>
      </c>
      <c r="W5" s="15">
        <f>IF(V5&gt;0.1,ROUND(($C5*V5)/1000,3),"")</f>
        <v>4.55</v>
      </c>
      <c r="X5" s="66">
        <v>0.08</v>
      </c>
      <c r="Y5" s="15">
        <f t="shared" si="4"/>
        <v>2000</v>
      </c>
      <c r="Z5" s="15">
        <f t="shared" si="5"/>
        <v>819</v>
      </c>
      <c r="AA5" s="15">
        <f t="shared" si="6"/>
        <v>3.3000000000000002E-2</v>
      </c>
      <c r="AD5" s="14"/>
      <c r="AE5" s="15" t="str">
        <f>IF(AD5&gt;0.1,ROUND(($C5*AD5)/1000,3),"")</f>
        <v/>
      </c>
      <c r="AF5" s="66">
        <v>0.08</v>
      </c>
      <c r="AG5" s="15" t="str">
        <f t="shared" si="7"/>
        <v/>
      </c>
      <c r="AH5" s="15" t="str">
        <f t="shared" si="8"/>
        <v/>
      </c>
      <c r="AI5" s="15" t="str">
        <f t="shared" si="9"/>
        <v/>
      </c>
      <c r="AL5" s="14"/>
      <c r="AM5" s="15" t="str">
        <f>IF(AL5&gt;0.1,ROUND(($C5*AL5)/1000,3),"")</f>
        <v/>
      </c>
      <c r="AN5" s="66">
        <v>0.08</v>
      </c>
      <c r="AO5" s="15" t="str">
        <f t="shared" si="10"/>
        <v/>
      </c>
      <c r="AP5" s="15" t="str">
        <f t="shared" si="11"/>
        <v/>
      </c>
      <c r="AQ5" s="15" t="str">
        <f t="shared" si="12"/>
        <v/>
      </c>
      <c r="AT5" s="14">
        <v>15000</v>
      </c>
      <c r="AU5" s="15">
        <f>IF(AT5&gt;0.1,ROUND(($C5*AT5)/1000,3),"")</f>
        <v>2.73</v>
      </c>
      <c r="AV5" s="66">
        <v>0.08</v>
      </c>
      <c r="AW5" s="15">
        <f t="shared" si="13"/>
        <v>1200</v>
      </c>
      <c r="AX5" s="15">
        <f t="shared" si="14"/>
        <v>491.4</v>
      </c>
      <c r="AY5" s="15">
        <f t="shared" si="15"/>
        <v>3.3000000000000002E-2</v>
      </c>
      <c r="BB5" s="14"/>
      <c r="BC5" s="15" t="str">
        <f>IF(BB5&gt;0.1,ROUND(($C5*BB5)/1000,3),"")</f>
        <v/>
      </c>
      <c r="BD5" s="66">
        <v>0.08</v>
      </c>
      <c r="BE5" s="15"/>
      <c r="BF5" s="15"/>
      <c r="BG5" s="15" t="str">
        <f t="shared" si="16"/>
        <v/>
      </c>
      <c r="BH5" s="15" t="str">
        <f t="shared" si="17"/>
        <v/>
      </c>
      <c r="BI5" s="15" t="str">
        <f t="shared" si="18"/>
        <v/>
      </c>
    </row>
    <row r="6" spans="1:61" ht="15.75" thickBot="1" x14ac:dyDescent="0.3">
      <c r="A6" s="154"/>
      <c r="B6" s="79" t="s">
        <v>7</v>
      </c>
      <c r="C6" s="5">
        <v>2.93</v>
      </c>
      <c r="D6" s="96" t="s">
        <v>8</v>
      </c>
      <c r="E6" s="36"/>
      <c r="F6" s="14"/>
      <c r="G6" s="15" t="str">
        <f t="shared" si="19"/>
        <v/>
      </c>
      <c r="H6" s="15" t="str">
        <f t="shared" si="20"/>
        <v/>
      </c>
      <c r="I6" s="25">
        <f t="shared" si="0"/>
        <v>341.29692832764505</v>
      </c>
      <c r="J6" s="20" t="s">
        <v>40</v>
      </c>
      <c r="K6" s="66"/>
      <c r="L6" s="15" t="str">
        <f t="shared" si="1"/>
        <v/>
      </c>
      <c r="M6" s="15" t="str">
        <f t="shared" si="2"/>
        <v/>
      </c>
      <c r="N6" s="15" t="str">
        <f t="shared" si="3"/>
        <v/>
      </c>
      <c r="O6" s="15">
        <v>0</v>
      </c>
      <c r="V6" s="14"/>
      <c r="W6" s="15" t="str">
        <f t="shared" ref="W6:W26" si="21">IF(V6&gt;0.1,ROUND(($C6*V6)/1000,3),"")</f>
        <v/>
      </c>
      <c r="X6" s="66"/>
      <c r="Y6" s="15" t="str">
        <f t="shared" si="4"/>
        <v/>
      </c>
      <c r="Z6" s="15" t="str">
        <f t="shared" si="5"/>
        <v/>
      </c>
      <c r="AA6" s="15" t="str">
        <f t="shared" si="6"/>
        <v/>
      </c>
      <c r="AD6" s="14"/>
      <c r="AE6" s="15" t="str">
        <f t="shared" ref="AE6:AE26" si="22">IF(AD6&gt;0.1,ROUND(($C6*AD6)/1000,3),"")</f>
        <v/>
      </c>
      <c r="AF6" s="66"/>
      <c r="AG6" s="15" t="str">
        <f t="shared" si="7"/>
        <v/>
      </c>
      <c r="AH6" s="15" t="str">
        <f t="shared" si="8"/>
        <v/>
      </c>
      <c r="AI6" s="15" t="str">
        <f t="shared" si="9"/>
        <v/>
      </c>
      <c r="AL6" s="14"/>
      <c r="AM6" s="15" t="str">
        <f t="shared" ref="AM6:AM26" si="23">IF(AL6&gt;0.1,ROUND(($C6*AL6)/1000,3),"")</f>
        <v/>
      </c>
      <c r="AN6" s="66"/>
      <c r="AO6" s="15" t="str">
        <f t="shared" si="10"/>
        <v/>
      </c>
      <c r="AP6" s="15" t="str">
        <f t="shared" si="11"/>
        <v/>
      </c>
      <c r="AQ6" s="15" t="str">
        <f t="shared" si="12"/>
        <v/>
      </c>
      <c r="AT6" s="14"/>
      <c r="AU6" s="15" t="str">
        <f t="shared" ref="AU6:AU26" si="24">IF(AT6&gt;0.1,ROUND(($C6*AT6)/1000,3),"")</f>
        <v/>
      </c>
      <c r="AV6" s="66"/>
      <c r="AW6" s="15" t="str">
        <f t="shared" si="13"/>
        <v/>
      </c>
      <c r="AX6" s="15" t="str">
        <f t="shared" si="14"/>
        <v/>
      </c>
      <c r="AY6" s="15" t="str">
        <f t="shared" si="15"/>
        <v/>
      </c>
      <c r="BB6" s="14"/>
      <c r="BC6" s="15" t="str">
        <f t="shared" ref="BC6:BC26" si="25">IF(BB6&gt;0.1,ROUND(($C6*BB6)/1000,3),"")</f>
        <v/>
      </c>
      <c r="BD6" s="66"/>
      <c r="BE6" s="15"/>
      <c r="BF6" s="15"/>
      <c r="BG6" s="15" t="str">
        <f t="shared" si="16"/>
        <v/>
      </c>
      <c r="BH6" s="15" t="str">
        <f t="shared" si="17"/>
        <v/>
      </c>
      <c r="BI6" s="15" t="str">
        <f t="shared" si="18"/>
        <v/>
      </c>
    </row>
    <row r="7" spans="1:61" ht="16.5" thickTop="1" thickBot="1" x14ac:dyDescent="0.3">
      <c r="A7" s="154"/>
      <c r="B7" s="78" t="s">
        <v>9</v>
      </c>
      <c r="C7" s="7">
        <v>0.23</v>
      </c>
      <c r="D7" s="95" t="s">
        <v>6</v>
      </c>
      <c r="E7" s="35"/>
      <c r="F7" s="14">
        <v>26448.000000000004</v>
      </c>
      <c r="G7" s="15">
        <f t="shared" si="19"/>
        <v>6083.04</v>
      </c>
      <c r="H7" s="15">
        <f t="shared" si="20"/>
        <v>6.0830000000000002</v>
      </c>
      <c r="I7" s="25">
        <f t="shared" si="0"/>
        <v>4347.826086956522</v>
      </c>
      <c r="J7" s="19" t="s">
        <v>39</v>
      </c>
      <c r="K7" s="66"/>
      <c r="L7" s="15">
        <f t="shared" si="1"/>
        <v>0</v>
      </c>
      <c r="M7" s="15">
        <f t="shared" si="2"/>
        <v>1094.94</v>
      </c>
      <c r="N7" s="15">
        <f t="shared" si="3"/>
        <v>4.1000000000000002E-2</v>
      </c>
      <c r="O7" s="15">
        <v>0</v>
      </c>
      <c r="V7" s="14"/>
      <c r="W7" s="15" t="str">
        <f t="shared" si="21"/>
        <v/>
      </c>
      <c r="X7" s="66"/>
      <c r="Y7" s="15" t="str">
        <f t="shared" si="4"/>
        <v/>
      </c>
      <c r="Z7" s="15" t="str">
        <f t="shared" si="5"/>
        <v/>
      </c>
      <c r="AA7" s="15" t="str">
        <f t="shared" si="6"/>
        <v/>
      </c>
      <c r="AD7" s="14"/>
      <c r="AE7" s="15" t="str">
        <f t="shared" si="22"/>
        <v/>
      </c>
      <c r="AF7" s="66"/>
      <c r="AG7" s="15" t="str">
        <f t="shared" si="7"/>
        <v/>
      </c>
      <c r="AH7" s="15" t="str">
        <f t="shared" si="8"/>
        <v/>
      </c>
      <c r="AI7" s="15" t="str">
        <f t="shared" si="9"/>
        <v/>
      </c>
      <c r="AL7" s="14"/>
      <c r="AM7" s="15" t="str">
        <f t="shared" si="23"/>
        <v/>
      </c>
      <c r="AN7" s="66"/>
      <c r="AO7" s="15" t="str">
        <f t="shared" si="10"/>
        <v/>
      </c>
      <c r="AP7" s="15" t="str">
        <f t="shared" si="11"/>
        <v/>
      </c>
      <c r="AQ7" s="15" t="str">
        <f t="shared" si="12"/>
        <v/>
      </c>
      <c r="AT7" s="14"/>
      <c r="AU7" s="15" t="str">
        <f t="shared" si="24"/>
        <v/>
      </c>
      <c r="AV7" s="66"/>
      <c r="AW7" s="15" t="str">
        <f t="shared" si="13"/>
        <v/>
      </c>
      <c r="AX7" s="15" t="str">
        <f t="shared" si="14"/>
        <v/>
      </c>
      <c r="AY7" s="15" t="str">
        <f t="shared" si="15"/>
        <v/>
      </c>
      <c r="BB7" s="14"/>
      <c r="BC7" s="15" t="str">
        <f t="shared" si="25"/>
        <v/>
      </c>
      <c r="BD7" s="66"/>
      <c r="BE7" s="15"/>
      <c r="BF7" s="15"/>
      <c r="BG7" s="15" t="str">
        <f t="shared" si="16"/>
        <v/>
      </c>
      <c r="BH7" s="15" t="str">
        <f t="shared" si="17"/>
        <v/>
      </c>
      <c r="BI7" s="15" t="str">
        <f t="shared" si="18"/>
        <v/>
      </c>
    </row>
    <row r="8" spans="1:61" ht="16.5" thickTop="1" thickBot="1" x14ac:dyDescent="0.3">
      <c r="A8" s="154"/>
      <c r="B8" s="79" t="s">
        <v>10</v>
      </c>
      <c r="C8" s="5">
        <v>2.66</v>
      </c>
      <c r="D8" s="96" t="s">
        <v>11</v>
      </c>
      <c r="E8" s="37"/>
      <c r="F8" s="12">
        <v>3000</v>
      </c>
      <c r="G8" s="15">
        <f t="shared" si="19"/>
        <v>7980</v>
      </c>
      <c r="H8" s="15">
        <f t="shared" si="20"/>
        <v>7.98</v>
      </c>
      <c r="I8" s="25">
        <f t="shared" si="0"/>
        <v>375.93984962406012</v>
      </c>
      <c r="J8" s="20" t="s">
        <v>41</v>
      </c>
      <c r="K8" s="66">
        <v>0.6</v>
      </c>
      <c r="L8" s="15">
        <f t="shared" si="1"/>
        <v>1800</v>
      </c>
      <c r="M8" s="15">
        <f t="shared" si="2"/>
        <v>1436.4</v>
      </c>
      <c r="N8" s="15">
        <f t="shared" si="3"/>
        <v>0.47899999999999998</v>
      </c>
      <c r="O8" s="15">
        <v>0</v>
      </c>
      <c r="V8" s="12"/>
      <c r="W8" s="15" t="str">
        <f t="shared" si="21"/>
        <v/>
      </c>
      <c r="X8" s="66">
        <v>0.6</v>
      </c>
      <c r="Y8" s="15" t="str">
        <f t="shared" si="4"/>
        <v/>
      </c>
      <c r="Z8" s="15" t="str">
        <f t="shared" si="5"/>
        <v/>
      </c>
      <c r="AA8" s="15" t="str">
        <f t="shared" si="6"/>
        <v/>
      </c>
      <c r="AD8" s="12"/>
      <c r="AE8" s="15" t="str">
        <f t="shared" si="22"/>
        <v/>
      </c>
      <c r="AF8" s="66">
        <v>0.6</v>
      </c>
      <c r="AG8" s="15" t="str">
        <f t="shared" si="7"/>
        <v/>
      </c>
      <c r="AH8" s="15" t="str">
        <f t="shared" si="8"/>
        <v/>
      </c>
      <c r="AI8" s="15" t="str">
        <f t="shared" si="9"/>
        <v/>
      </c>
      <c r="AL8" s="12"/>
      <c r="AM8" s="15" t="str">
        <f t="shared" si="23"/>
        <v/>
      </c>
      <c r="AN8" s="66">
        <v>0.6</v>
      </c>
      <c r="AO8" s="15" t="str">
        <f t="shared" si="10"/>
        <v/>
      </c>
      <c r="AP8" s="15" t="str">
        <f t="shared" si="11"/>
        <v/>
      </c>
      <c r="AQ8" s="15" t="str">
        <f t="shared" si="12"/>
        <v/>
      </c>
      <c r="AT8" s="12"/>
      <c r="AU8" s="15" t="str">
        <f t="shared" si="24"/>
        <v/>
      </c>
      <c r="AV8" s="66">
        <v>0.6</v>
      </c>
      <c r="AW8" s="15" t="str">
        <f t="shared" si="13"/>
        <v/>
      </c>
      <c r="AX8" s="15" t="str">
        <f t="shared" si="14"/>
        <v/>
      </c>
      <c r="AY8" s="15" t="str">
        <f t="shared" si="15"/>
        <v/>
      </c>
      <c r="BB8" s="12"/>
      <c r="BC8" s="15" t="str">
        <f t="shared" si="25"/>
        <v/>
      </c>
      <c r="BD8" s="66">
        <v>0.6</v>
      </c>
      <c r="BE8" s="15"/>
      <c r="BF8" s="15"/>
      <c r="BG8" s="15" t="str">
        <f t="shared" si="16"/>
        <v/>
      </c>
      <c r="BH8" s="15" t="str">
        <f t="shared" si="17"/>
        <v/>
      </c>
      <c r="BI8" s="15" t="str">
        <f t="shared" si="18"/>
        <v/>
      </c>
    </row>
    <row r="9" spans="1:61" ht="16.5" thickTop="1" thickBot="1" x14ac:dyDescent="0.3">
      <c r="A9" s="154"/>
      <c r="B9" s="78" t="s">
        <v>12</v>
      </c>
      <c r="C9" s="7">
        <v>3.17</v>
      </c>
      <c r="D9" s="97" t="s">
        <v>8</v>
      </c>
      <c r="E9" s="36"/>
      <c r="F9" s="14"/>
      <c r="G9" s="15" t="str">
        <f t="shared" si="19"/>
        <v/>
      </c>
      <c r="H9" s="15" t="str">
        <f t="shared" si="20"/>
        <v/>
      </c>
      <c r="I9" s="25">
        <f t="shared" si="0"/>
        <v>315.45741324921136</v>
      </c>
      <c r="J9" s="21" t="s">
        <v>40</v>
      </c>
      <c r="K9" s="66"/>
      <c r="L9" s="15" t="str">
        <f t="shared" si="1"/>
        <v/>
      </c>
      <c r="M9" s="15" t="str">
        <f t="shared" si="2"/>
        <v/>
      </c>
      <c r="N9" s="15" t="str">
        <f t="shared" si="3"/>
        <v/>
      </c>
      <c r="O9" s="15">
        <v>0</v>
      </c>
      <c r="V9" s="14"/>
      <c r="W9" s="15" t="str">
        <f t="shared" si="21"/>
        <v/>
      </c>
      <c r="X9" s="66"/>
      <c r="Y9" s="15" t="str">
        <f t="shared" si="4"/>
        <v/>
      </c>
      <c r="Z9" s="15" t="str">
        <f t="shared" si="5"/>
        <v/>
      </c>
      <c r="AA9" s="15" t="str">
        <f t="shared" si="6"/>
        <v/>
      </c>
      <c r="AD9" s="14"/>
      <c r="AE9" s="15" t="str">
        <f t="shared" si="22"/>
        <v/>
      </c>
      <c r="AF9" s="66"/>
      <c r="AG9" s="15" t="str">
        <f t="shared" si="7"/>
        <v/>
      </c>
      <c r="AH9" s="15" t="str">
        <f t="shared" si="8"/>
        <v/>
      </c>
      <c r="AI9" s="15" t="str">
        <f t="shared" si="9"/>
        <v/>
      </c>
      <c r="AL9" s="14"/>
      <c r="AM9" s="15" t="str">
        <f t="shared" si="23"/>
        <v/>
      </c>
      <c r="AN9" s="66"/>
      <c r="AO9" s="15" t="str">
        <f t="shared" si="10"/>
        <v/>
      </c>
      <c r="AP9" s="15" t="str">
        <f t="shared" si="11"/>
        <v/>
      </c>
      <c r="AQ9" s="15" t="str">
        <f t="shared" si="12"/>
        <v/>
      </c>
      <c r="AT9" s="14"/>
      <c r="AU9" s="15" t="str">
        <f t="shared" si="24"/>
        <v/>
      </c>
      <c r="AV9" s="66"/>
      <c r="AW9" s="15" t="str">
        <f t="shared" si="13"/>
        <v/>
      </c>
      <c r="AX9" s="15" t="str">
        <f t="shared" si="14"/>
        <v/>
      </c>
      <c r="AY9" s="15" t="str">
        <f t="shared" si="15"/>
        <v/>
      </c>
      <c r="BB9" s="14"/>
      <c r="BC9" s="15" t="str">
        <f t="shared" si="25"/>
        <v/>
      </c>
      <c r="BD9" s="66"/>
      <c r="BE9" s="15"/>
      <c r="BF9" s="15"/>
      <c r="BG9" s="15" t="str">
        <f t="shared" si="16"/>
        <v/>
      </c>
      <c r="BH9" s="15" t="str">
        <f t="shared" si="17"/>
        <v/>
      </c>
      <c r="BI9" s="15" t="str">
        <f t="shared" si="18"/>
        <v/>
      </c>
    </row>
    <row r="10" spans="1:61" ht="16.5" thickTop="1" thickBot="1" x14ac:dyDescent="0.3">
      <c r="A10" s="154"/>
      <c r="B10" s="79" t="s">
        <v>141</v>
      </c>
      <c r="C10" s="5">
        <v>0.25</v>
      </c>
      <c r="D10" s="94" t="s">
        <v>6</v>
      </c>
      <c r="E10" s="35"/>
      <c r="F10" s="14"/>
      <c r="G10" s="15" t="str">
        <f t="shared" si="19"/>
        <v/>
      </c>
      <c r="H10" s="15" t="str">
        <f t="shared" si="20"/>
        <v/>
      </c>
      <c r="I10" s="25">
        <f t="shared" si="0"/>
        <v>4000</v>
      </c>
      <c r="J10" s="22" t="s">
        <v>39</v>
      </c>
      <c r="K10" s="66"/>
      <c r="L10" s="15" t="str">
        <f t="shared" si="1"/>
        <v/>
      </c>
      <c r="M10" s="15" t="str">
        <f t="shared" si="2"/>
        <v/>
      </c>
      <c r="N10" s="15" t="str">
        <f t="shared" si="3"/>
        <v/>
      </c>
      <c r="O10" s="15">
        <v>0</v>
      </c>
      <c r="V10" s="14"/>
      <c r="W10" s="15" t="str">
        <f t="shared" si="21"/>
        <v/>
      </c>
      <c r="X10" s="66"/>
      <c r="Y10" s="15" t="str">
        <f t="shared" si="4"/>
        <v/>
      </c>
      <c r="Z10" s="15" t="str">
        <f t="shared" si="5"/>
        <v/>
      </c>
      <c r="AA10" s="15" t="str">
        <f t="shared" si="6"/>
        <v/>
      </c>
      <c r="AD10" s="14">
        <v>25000</v>
      </c>
      <c r="AE10" s="15">
        <f>IF(AD10&gt;0.1,ROUND(($C10*AD10)/1000,3),"")</f>
        <v>6.25</v>
      </c>
      <c r="AF10" s="66"/>
      <c r="AG10" s="15">
        <f t="shared" si="7"/>
        <v>0</v>
      </c>
      <c r="AH10" s="15">
        <f t="shared" si="8"/>
        <v>1125</v>
      </c>
      <c r="AI10" s="15">
        <f t="shared" si="9"/>
        <v>4.4999999999999998E-2</v>
      </c>
      <c r="AL10" s="14"/>
      <c r="AM10" s="15" t="str">
        <f>IF(AL10&gt;0.1,ROUND(($C10*AL10)/1000,3),"")</f>
        <v/>
      </c>
      <c r="AN10" s="66"/>
      <c r="AO10" s="15" t="str">
        <f t="shared" si="10"/>
        <v/>
      </c>
      <c r="AP10" s="15" t="str">
        <f t="shared" si="11"/>
        <v/>
      </c>
      <c r="AQ10" s="15" t="str">
        <f t="shared" si="12"/>
        <v/>
      </c>
      <c r="AT10" s="14"/>
      <c r="AU10" s="15" t="str">
        <f>IF(AT10&gt;0.1,ROUND(($C10*AT10)/1000,3),"")</f>
        <v/>
      </c>
      <c r="AV10" s="66"/>
      <c r="AW10" s="15" t="str">
        <f t="shared" si="13"/>
        <v/>
      </c>
      <c r="AX10" s="15" t="str">
        <f t="shared" si="14"/>
        <v/>
      </c>
      <c r="AY10" s="15" t="str">
        <f t="shared" si="15"/>
        <v/>
      </c>
      <c r="BB10" s="14"/>
      <c r="BC10" s="15" t="str">
        <f>IF(BB10&gt;0.1,ROUND(($C10*BB10)/1000,3),"")</f>
        <v/>
      </c>
      <c r="BD10" s="66"/>
      <c r="BE10" s="15"/>
      <c r="BF10" s="15"/>
      <c r="BG10" s="15" t="str">
        <f t="shared" si="16"/>
        <v/>
      </c>
      <c r="BH10" s="15" t="str">
        <f t="shared" si="17"/>
        <v/>
      </c>
      <c r="BI10" s="15" t="str">
        <f t="shared" si="18"/>
        <v/>
      </c>
    </row>
    <row r="11" spans="1:61" ht="16.5" thickTop="1" thickBot="1" x14ac:dyDescent="0.3">
      <c r="A11" s="154"/>
      <c r="B11" s="78" t="s">
        <v>13</v>
      </c>
      <c r="C11" s="7">
        <v>0.26800000000000002</v>
      </c>
      <c r="D11" s="95" t="s">
        <v>6</v>
      </c>
      <c r="E11" s="35"/>
      <c r="F11" s="14"/>
      <c r="G11" s="15" t="str">
        <f t="shared" si="19"/>
        <v/>
      </c>
      <c r="H11" s="15" t="str">
        <f t="shared" si="20"/>
        <v/>
      </c>
      <c r="I11" s="25">
        <f t="shared" si="0"/>
        <v>3731.3432835820895</v>
      </c>
      <c r="J11" s="19" t="s">
        <v>39</v>
      </c>
      <c r="K11" s="66"/>
      <c r="L11" s="15" t="str">
        <f t="shared" si="1"/>
        <v/>
      </c>
      <c r="M11" s="15" t="str">
        <f t="shared" si="2"/>
        <v/>
      </c>
      <c r="N11" s="15" t="str">
        <f t="shared" si="3"/>
        <v/>
      </c>
      <c r="O11" s="15">
        <v>0</v>
      </c>
      <c r="V11" s="14"/>
      <c r="W11" s="15" t="str">
        <f t="shared" si="21"/>
        <v/>
      </c>
      <c r="X11" s="66"/>
      <c r="Y11" s="15" t="str">
        <f t="shared" si="4"/>
        <v/>
      </c>
      <c r="Z11" s="15" t="str">
        <f t="shared" si="5"/>
        <v/>
      </c>
      <c r="AA11" s="15" t="str">
        <f t="shared" si="6"/>
        <v/>
      </c>
      <c r="AD11" s="14"/>
      <c r="AE11" s="15" t="str">
        <f t="shared" si="22"/>
        <v/>
      </c>
      <c r="AF11" s="66"/>
      <c r="AG11" s="15" t="str">
        <f t="shared" si="7"/>
        <v/>
      </c>
      <c r="AH11" s="15" t="str">
        <f t="shared" si="8"/>
        <v/>
      </c>
      <c r="AI11" s="15" t="str">
        <f t="shared" si="9"/>
        <v/>
      </c>
      <c r="AL11" s="14"/>
      <c r="AM11" s="15" t="str">
        <f t="shared" si="23"/>
        <v/>
      </c>
      <c r="AN11" s="66"/>
      <c r="AO11" s="15" t="str">
        <f t="shared" si="10"/>
        <v/>
      </c>
      <c r="AP11" s="15" t="str">
        <f t="shared" si="11"/>
        <v/>
      </c>
      <c r="AQ11" s="15" t="str">
        <f t="shared" si="12"/>
        <v/>
      </c>
      <c r="AT11" s="14"/>
      <c r="AU11" s="15" t="str">
        <f t="shared" si="24"/>
        <v/>
      </c>
      <c r="AV11" s="66"/>
      <c r="AW11" s="15" t="str">
        <f t="shared" si="13"/>
        <v/>
      </c>
      <c r="AX11" s="15" t="str">
        <f t="shared" si="14"/>
        <v/>
      </c>
      <c r="AY11" s="15" t="str">
        <f t="shared" si="15"/>
        <v/>
      </c>
      <c r="BB11" s="14"/>
      <c r="BC11" s="15" t="str">
        <f t="shared" si="25"/>
        <v/>
      </c>
      <c r="BD11" s="66"/>
      <c r="BE11" s="15"/>
      <c r="BF11" s="15"/>
      <c r="BG11" s="15" t="str">
        <f t="shared" si="16"/>
        <v/>
      </c>
      <c r="BH11" s="15" t="str">
        <f t="shared" si="17"/>
        <v/>
      </c>
      <c r="BI11" s="15" t="str">
        <f t="shared" si="18"/>
        <v/>
      </c>
    </row>
    <row r="12" spans="1:61" ht="16.5" thickTop="1" thickBot="1" x14ac:dyDescent="0.3">
      <c r="A12" s="154"/>
      <c r="B12" s="79" t="s">
        <v>14</v>
      </c>
      <c r="C12" s="5">
        <v>2.77</v>
      </c>
      <c r="D12" s="96" t="s">
        <v>11</v>
      </c>
      <c r="E12" s="37"/>
      <c r="F12" s="14"/>
      <c r="G12" s="15" t="str">
        <f t="shared" si="19"/>
        <v/>
      </c>
      <c r="H12" s="15" t="str">
        <f t="shared" si="20"/>
        <v/>
      </c>
      <c r="I12" s="25">
        <f t="shared" si="0"/>
        <v>361.01083032490976</v>
      </c>
      <c r="J12" s="20" t="s">
        <v>41</v>
      </c>
      <c r="K12" s="66"/>
      <c r="L12" s="15" t="str">
        <f t="shared" si="1"/>
        <v/>
      </c>
      <c r="M12" s="15" t="str">
        <f t="shared" si="2"/>
        <v/>
      </c>
      <c r="N12" s="15" t="str">
        <f t="shared" si="3"/>
        <v/>
      </c>
      <c r="O12" s="15">
        <v>0</v>
      </c>
      <c r="V12" s="14"/>
      <c r="W12" s="15" t="str">
        <f t="shared" si="21"/>
        <v/>
      </c>
      <c r="X12" s="66"/>
      <c r="Y12" s="15" t="str">
        <f t="shared" si="4"/>
        <v/>
      </c>
      <c r="Z12" s="15" t="str">
        <f t="shared" si="5"/>
        <v/>
      </c>
      <c r="AA12" s="15" t="str">
        <f t="shared" si="6"/>
        <v/>
      </c>
      <c r="AD12" s="14"/>
      <c r="AE12" s="15" t="str">
        <f t="shared" si="22"/>
        <v/>
      </c>
      <c r="AF12" s="66"/>
      <c r="AG12" s="15" t="str">
        <f t="shared" si="7"/>
        <v/>
      </c>
      <c r="AH12" s="15" t="str">
        <f t="shared" si="8"/>
        <v/>
      </c>
      <c r="AI12" s="15" t="str">
        <f t="shared" si="9"/>
        <v/>
      </c>
      <c r="AL12" s="14"/>
      <c r="AM12" s="15" t="str">
        <f t="shared" si="23"/>
        <v/>
      </c>
      <c r="AN12" s="66"/>
      <c r="AO12" s="15" t="str">
        <f t="shared" si="10"/>
        <v/>
      </c>
      <c r="AP12" s="15" t="str">
        <f t="shared" si="11"/>
        <v/>
      </c>
      <c r="AQ12" s="15" t="str">
        <f t="shared" si="12"/>
        <v/>
      </c>
      <c r="AT12" s="14"/>
      <c r="AU12" s="15" t="str">
        <f t="shared" si="24"/>
        <v/>
      </c>
      <c r="AV12" s="66"/>
      <c r="AW12" s="15" t="str">
        <f t="shared" si="13"/>
        <v/>
      </c>
      <c r="AX12" s="15" t="str">
        <f t="shared" si="14"/>
        <v/>
      </c>
      <c r="AY12" s="15" t="str">
        <f t="shared" si="15"/>
        <v/>
      </c>
      <c r="BB12" s="14"/>
      <c r="BC12" s="15" t="str">
        <f t="shared" si="25"/>
        <v/>
      </c>
      <c r="BD12" s="66"/>
      <c r="BE12" s="15"/>
      <c r="BF12" s="15"/>
      <c r="BG12" s="15" t="str">
        <f t="shared" si="16"/>
        <v/>
      </c>
      <c r="BH12" s="15" t="str">
        <f t="shared" si="17"/>
        <v/>
      </c>
      <c r="BI12" s="15" t="str">
        <f t="shared" si="18"/>
        <v/>
      </c>
    </row>
    <row r="13" spans="1:61" ht="16.5" thickTop="1" thickBot="1" x14ac:dyDescent="0.3">
      <c r="A13" s="154"/>
      <c r="B13" s="78" t="s">
        <v>15</v>
      </c>
      <c r="C13" s="7">
        <v>0.29299999999999998</v>
      </c>
      <c r="D13" s="95" t="s">
        <v>6</v>
      </c>
      <c r="E13" s="35"/>
      <c r="F13" s="14"/>
      <c r="G13" s="15" t="str">
        <f t="shared" si="19"/>
        <v/>
      </c>
      <c r="H13" s="15" t="str">
        <f t="shared" si="20"/>
        <v/>
      </c>
      <c r="I13" s="25">
        <f t="shared" si="0"/>
        <v>3412.9692832764508</v>
      </c>
      <c r="J13" s="19" t="s">
        <v>39</v>
      </c>
      <c r="K13" s="66"/>
      <c r="L13" s="15" t="str">
        <f t="shared" si="1"/>
        <v/>
      </c>
      <c r="M13" s="15" t="str">
        <f t="shared" si="2"/>
        <v/>
      </c>
      <c r="N13" s="15" t="str">
        <f t="shared" si="3"/>
        <v/>
      </c>
      <c r="O13" s="15">
        <v>0</v>
      </c>
      <c r="V13" s="14"/>
      <c r="W13" s="15" t="str">
        <f t="shared" si="21"/>
        <v/>
      </c>
      <c r="X13" s="66"/>
      <c r="Y13" s="15" t="str">
        <f t="shared" si="4"/>
        <v/>
      </c>
      <c r="Z13" s="15" t="str">
        <f t="shared" si="5"/>
        <v/>
      </c>
      <c r="AA13" s="15" t="str">
        <f t="shared" si="6"/>
        <v/>
      </c>
      <c r="AD13" s="14"/>
      <c r="AE13" s="15" t="str">
        <f t="shared" si="22"/>
        <v/>
      </c>
      <c r="AF13" s="66"/>
      <c r="AG13" s="15" t="str">
        <f t="shared" si="7"/>
        <v/>
      </c>
      <c r="AH13" s="15" t="str">
        <f t="shared" si="8"/>
        <v/>
      </c>
      <c r="AI13" s="15" t="str">
        <f t="shared" si="9"/>
        <v/>
      </c>
      <c r="AL13" s="14"/>
      <c r="AM13" s="15" t="str">
        <f t="shared" si="23"/>
        <v/>
      </c>
      <c r="AN13" s="66"/>
      <c r="AO13" s="15" t="str">
        <f t="shared" si="10"/>
        <v/>
      </c>
      <c r="AP13" s="15" t="str">
        <f t="shared" si="11"/>
        <v/>
      </c>
      <c r="AQ13" s="15" t="str">
        <f t="shared" si="12"/>
        <v/>
      </c>
      <c r="AT13" s="14"/>
      <c r="AU13" s="15" t="str">
        <f t="shared" si="24"/>
        <v/>
      </c>
      <c r="AV13" s="66"/>
      <c r="AW13" s="15" t="str">
        <f t="shared" si="13"/>
        <v/>
      </c>
      <c r="AX13" s="15" t="str">
        <f t="shared" si="14"/>
        <v/>
      </c>
      <c r="AY13" s="15" t="str">
        <f t="shared" si="15"/>
        <v/>
      </c>
      <c r="BB13" s="14"/>
      <c r="BC13" s="15" t="str">
        <f t="shared" si="25"/>
        <v/>
      </c>
      <c r="BD13" s="66"/>
      <c r="BE13" s="15"/>
      <c r="BF13" s="15"/>
      <c r="BG13" s="15" t="str">
        <f t="shared" si="16"/>
        <v/>
      </c>
      <c r="BH13" s="15" t="str">
        <f t="shared" si="17"/>
        <v/>
      </c>
      <c r="BI13" s="15" t="str">
        <f t="shared" si="18"/>
        <v/>
      </c>
    </row>
    <row r="14" spans="1:61" ht="16.5" thickTop="1" thickBot="1" x14ac:dyDescent="0.3">
      <c r="A14" s="154"/>
      <c r="B14" s="79" t="s">
        <v>16</v>
      </c>
      <c r="C14" s="5">
        <v>2.93</v>
      </c>
      <c r="D14" s="96" t="s">
        <v>8</v>
      </c>
      <c r="E14" s="36"/>
      <c r="F14" s="14"/>
      <c r="G14" s="15" t="str">
        <f t="shared" si="19"/>
        <v/>
      </c>
      <c r="H14" s="15" t="str">
        <f t="shared" si="20"/>
        <v/>
      </c>
      <c r="I14" s="25">
        <f t="shared" si="0"/>
        <v>341.29692832764505</v>
      </c>
      <c r="J14" s="20" t="s">
        <v>40</v>
      </c>
      <c r="K14" s="66"/>
      <c r="L14" s="15" t="str">
        <f t="shared" si="1"/>
        <v/>
      </c>
      <c r="M14" s="15" t="str">
        <f t="shared" si="2"/>
        <v/>
      </c>
      <c r="N14" s="15" t="str">
        <f t="shared" si="3"/>
        <v/>
      </c>
      <c r="O14" s="15">
        <v>0</v>
      </c>
      <c r="V14" s="14"/>
      <c r="W14" s="15" t="str">
        <f t="shared" si="21"/>
        <v/>
      </c>
      <c r="X14" s="66"/>
      <c r="Y14" s="15" t="str">
        <f t="shared" si="4"/>
        <v/>
      </c>
      <c r="Z14" s="15" t="str">
        <f t="shared" si="5"/>
        <v/>
      </c>
      <c r="AA14" s="15" t="str">
        <f t="shared" si="6"/>
        <v/>
      </c>
      <c r="AD14" s="14"/>
      <c r="AE14" s="15" t="str">
        <f t="shared" si="22"/>
        <v/>
      </c>
      <c r="AF14" s="66"/>
      <c r="AG14" s="15" t="str">
        <f t="shared" si="7"/>
        <v/>
      </c>
      <c r="AH14" s="15" t="str">
        <f t="shared" si="8"/>
        <v/>
      </c>
      <c r="AI14" s="15" t="str">
        <f t="shared" si="9"/>
        <v/>
      </c>
      <c r="AL14" s="14"/>
      <c r="AM14" s="15" t="str">
        <f t="shared" si="23"/>
        <v/>
      </c>
      <c r="AN14" s="66"/>
      <c r="AO14" s="15" t="str">
        <f t="shared" si="10"/>
        <v/>
      </c>
      <c r="AP14" s="15" t="str">
        <f t="shared" si="11"/>
        <v/>
      </c>
      <c r="AQ14" s="15" t="str">
        <f t="shared" si="12"/>
        <v/>
      </c>
      <c r="AT14" s="14"/>
      <c r="AU14" s="15" t="str">
        <f t="shared" si="24"/>
        <v/>
      </c>
      <c r="AV14" s="66"/>
      <c r="AW14" s="15" t="str">
        <f t="shared" si="13"/>
        <v/>
      </c>
      <c r="AX14" s="15" t="str">
        <f t="shared" si="14"/>
        <v/>
      </c>
      <c r="AY14" s="15" t="str">
        <f t="shared" si="15"/>
        <v/>
      </c>
      <c r="BB14" s="14"/>
      <c r="BC14" s="15" t="str">
        <f t="shared" si="25"/>
        <v/>
      </c>
      <c r="BD14" s="66"/>
      <c r="BE14" s="15"/>
      <c r="BF14" s="15"/>
      <c r="BG14" s="15" t="str">
        <f t="shared" si="16"/>
        <v/>
      </c>
      <c r="BH14" s="15" t="str">
        <f t="shared" si="17"/>
        <v/>
      </c>
      <c r="BI14" s="15" t="str">
        <f t="shared" si="18"/>
        <v/>
      </c>
    </row>
    <row r="15" spans="1:61" ht="16.5" thickTop="1" thickBot="1" x14ac:dyDescent="0.3">
      <c r="A15" s="154"/>
      <c r="B15" s="78" t="s">
        <v>17</v>
      </c>
      <c r="C15" s="7">
        <v>0.38900000000000001</v>
      </c>
      <c r="D15" s="95" t="s">
        <v>6</v>
      </c>
      <c r="E15" s="35"/>
      <c r="F15" s="14"/>
      <c r="G15" s="15" t="str">
        <f t="shared" si="19"/>
        <v/>
      </c>
      <c r="H15" s="15" t="str">
        <f t="shared" si="20"/>
        <v/>
      </c>
      <c r="I15" s="25">
        <f t="shared" si="0"/>
        <v>2570.694087403599</v>
      </c>
      <c r="J15" s="19" t="s">
        <v>39</v>
      </c>
      <c r="K15" s="66"/>
      <c r="L15" s="15" t="str">
        <f t="shared" si="1"/>
        <v/>
      </c>
      <c r="M15" s="15" t="str">
        <f t="shared" si="2"/>
        <v/>
      </c>
      <c r="N15" s="15" t="str">
        <f t="shared" si="3"/>
        <v/>
      </c>
      <c r="O15" s="15">
        <v>0</v>
      </c>
      <c r="V15" s="14"/>
      <c r="W15" s="15" t="str">
        <f t="shared" si="21"/>
        <v/>
      </c>
      <c r="X15" s="66"/>
      <c r="Y15" s="15" t="str">
        <f t="shared" si="4"/>
        <v/>
      </c>
      <c r="Z15" s="15" t="str">
        <f t="shared" si="5"/>
        <v/>
      </c>
      <c r="AA15" s="15" t="str">
        <f t="shared" si="6"/>
        <v/>
      </c>
      <c r="AD15" s="14"/>
      <c r="AE15" s="15" t="str">
        <f t="shared" si="22"/>
        <v/>
      </c>
      <c r="AF15" s="66"/>
      <c r="AG15" s="15" t="str">
        <f t="shared" si="7"/>
        <v/>
      </c>
      <c r="AH15" s="15" t="str">
        <f t="shared" si="8"/>
        <v/>
      </c>
      <c r="AI15" s="15" t="str">
        <f t="shared" si="9"/>
        <v/>
      </c>
      <c r="AL15" s="14"/>
      <c r="AM15" s="15" t="str">
        <f t="shared" si="23"/>
        <v/>
      </c>
      <c r="AN15" s="66"/>
      <c r="AO15" s="15" t="str">
        <f t="shared" si="10"/>
        <v/>
      </c>
      <c r="AP15" s="15" t="str">
        <f t="shared" si="11"/>
        <v/>
      </c>
      <c r="AQ15" s="15" t="str">
        <f t="shared" si="12"/>
        <v/>
      </c>
      <c r="AT15" s="14"/>
      <c r="AU15" s="15" t="str">
        <f t="shared" si="24"/>
        <v/>
      </c>
      <c r="AV15" s="66"/>
      <c r="AW15" s="15" t="str">
        <f t="shared" si="13"/>
        <v/>
      </c>
      <c r="AX15" s="15" t="str">
        <f t="shared" si="14"/>
        <v/>
      </c>
      <c r="AY15" s="15" t="str">
        <f t="shared" si="15"/>
        <v/>
      </c>
      <c r="BB15" s="14"/>
      <c r="BC15" s="15" t="str">
        <f t="shared" si="25"/>
        <v/>
      </c>
      <c r="BD15" s="66"/>
      <c r="BE15" s="15"/>
      <c r="BF15" s="15"/>
      <c r="BG15" s="15" t="str">
        <f t="shared" si="16"/>
        <v/>
      </c>
      <c r="BH15" s="15" t="str">
        <f t="shared" si="17"/>
        <v/>
      </c>
      <c r="BI15" s="15" t="str">
        <f t="shared" si="18"/>
        <v/>
      </c>
    </row>
    <row r="16" spans="1:61" ht="16.5" thickTop="1" thickBot="1" x14ac:dyDescent="0.3">
      <c r="A16" s="154"/>
      <c r="B16" s="79" t="s">
        <v>18</v>
      </c>
      <c r="C16" s="5">
        <v>1.95</v>
      </c>
      <c r="D16" s="96" t="s">
        <v>8</v>
      </c>
      <c r="E16" s="36"/>
      <c r="F16" s="14"/>
      <c r="G16" s="15" t="str">
        <f t="shared" si="19"/>
        <v/>
      </c>
      <c r="H16" s="15" t="str">
        <f t="shared" si="20"/>
        <v/>
      </c>
      <c r="I16" s="25">
        <f t="shared" si="0"/>
        <v>512.82051282051282</v>
      </c>
      <c r="J16" s="20" t="s">
        <v>40</v>
      </c>
      <c r="K16" s="66"/>
      <c r="L16" s="15" t="str">
        <f t="shared" si="1"/>
        <v/>
      </c>
      <c r="M16" s="15" t="str">
        <f t="shared" si="2"/>
        <v/>
      </c>
      <c r="N16" s="15" t="str">
        <f t="shared" si="3"/>
        <v/>
      </c>
      <c r="O16" s="15">
        <v>0</v>
      </c>
      <c r="V16" s="14"/>
      <c r="W16" s="15" t="str">
        <f t="shared" si="21"/>
        <v/>
      </c>
      <c r="X16" s="66"/>
      <c r="Y16" s="15" t="str">
        <f t="shared" si="4"/>
        <v/>
      </c>
      <c r="Z16" s="15" t="str">
        <f t="shared" si="5"/>
        <v/>
      </c>
      <c r="AA16" s="15" t="str">
        <f t="shared" si="6"/>
        <v/>
      </c>
      <c r="AD16" s="14"/>
      <c r="AE16" s="15" t="str">
        <f t="shared" si="22"/>
        <v/>
      </c>
      <c r="AF16" s="66"/>
      <c r="AG16" s="15" t="str">
        <f t="shared" si="7"/>
        <v/>
      </c>
      <c r="AH16" s="15" t="str">
        <f t="shared" si="8"/>
        <v/>
      </c>
      <c r="AI16" s="15" t="str">
        <f t="shared" si="9"/>
        <v/>
      </c>
      <c r="AL16" s="14"/>
      <c r="AM16" s="15" t="str">
        <f t="shared" si="23"/>
        <v/>
      </c>
      <c r="AN16" s="66"/>
      <c r="AO16" s="15" t="str">
        <f t="shared" si="10"/>
        <v/>
      </c>
      <c r="AP16" s="15" t="str">
        <f t="shared" si="11"/>
        <v/>
      </c>
      <c r="AQ16" s="15" t="str">
        <f t="shared" si="12"/>
        <v/>
      </c>
      <c r="AT16" s="14"/>
      <c r="AU16" s="15" t="str">
        <f t="shared" si="24"/>
        <v/>
      </c>
      <c r="AV16" s="66"/>
      <c r="AW16" s="15" t="str">
        <f t="shared" si="13"/>
        <v/>
      </c>
      <c r="AX16" s="15" t="str">
        <f t="shared" si="14"/>
        <v/>
      </c>
      <c r="AY16" s="15" t="str">
        <f t="shared" si="15"/>
        <v/>
      </c>
      <c r="BB16" s="14"/>
      <c r="BC16" s="15" t="str">
        <f t="shared" si="25"/>
        <v/>
      </c>
      <c r="BD16" s="66"/>
      <c r="BE16" s="15"/>
      <c r="BF16" s="15"/>
      <c r="BG16" s="15" t="str">
        <f t="shared" si="16"/>
        <v/>
      </c>
      <c r="BH16" s="15" t="str">
        <f t="shared" si="17"/>
        <v/>
      </c>
      <c r="BI16" s="15" t="str">
        <f t="shared" si="18"/>
        <v/>
      </c>
    </row>
    <row r="17" spans="1:64" ht="16.5" thickTop="1" thickBot="1" x14ac:dyDescent="0.3">
      <c r="A17" s="154"/>
      <c r="B17" s="78" t="s">
        <v>19</v>
      </c>
      <c r="C17" s="7">
        <v>0.35899999999999999</v>
      </c>
      <c r="D17" s="98" t="s">
        <v>20</v>
      </c>
      <c r="E17" s="35"/>
      <c r="F17" s="14"/>
      <c r="G17" s="15" t="str">
        <f t="shared" si="19"/>
        <v/>
      </c>
      <c r="H17" s="15" t="str">
        <f t="shared" si="20"/>
        <v/>
      </c>
      <c r="I17" s="25">
        <f t="shared" si="0"/>
        <v>2785.515320334262</v>
      </c>
      <c r="J17" s="23" t="s">
        <v>42</v>
      </c>
      <c r="K17" s="66"/>
      <c r="L17" s="15" t="str">
        <f t="shared" si="1"/>
        <v/>
      </c>
      <c r="M17" s="15" t="str">
        <f t="shared" si="2"/>
        <v/>
      </c>
      <c r="N17" s="15" t="str">
        <f t="shared" si="3"/>
        <v/>
      </c>
      <c r="O17" s="15">
        <v>0</v>
      </c>
      <c r="V17" s="14"/>
      <c r="W17" s="15" t="str">
        <f t="shared" si="21"/>
        <v/>
      </c>
      <c r="X17" s="66"/>
      <c r="Y17" s="15" t="str">
        <f t="shared" si="4"/>
        <v/>
      </c>
      <c r="Z17" s="15" t="str">
        <f t="shared" si="5"/>
        <v/>
      </c>
      <c r="AA17" s="15" t="str">
        <f t="shared" si="6"/>
        <v/>
      </c>
      <c r="AD17" s="14"/>
      <c r="AE17" s="15" t="str">
        <f t="shared" si="22"/>
        <v/>
      </c>
      <c r="AF17" s="66"/>
      <c r="AG17" s="15" t="str">
        <f t="shared" si="7"/>
        <v/>
      </c>
      <c r="AH17" s="15" t="str">
        <f t="shared" si="8"/>
        <v/>
      </c>
      <c r="AI17" s="15" t="str">
        <f t="shared" si="9"/>
        <v/>
      </c>
      <c r="AL17" s="14"/>
      <c r="AM17" s="15" t="str">
        <f t="shared" si="23"/>
        <v/>
      </c>
      <c r="AN17" s="66"/>
      <c r="AO17" s="15" t="str">
        <f t="shared" si="10"/>
        <v/>
      </c>
      <c r="AP17" s="15" t="str">
        <f t="shared" si="11"/>
        <v/>
      </c>
      <c r="AQ17" s="15" t="str">
        <f t="shared" si="12"/>
        <v/>
      </c>
      <c r="AT17" s="14"/>
      <c r="AU17" s="15" t="str">
        <f t="shared" si="24"/>
        <v/>
      </c>
      <c r="AV17" s="66"/>
      <c r="AW17" s="15" t="str">
        <f t="shared" si="13"/>
        <v/>
      </c>
      <c r="AX17" s="15" t="str">
        <f t="shared" si="14"/>
        <v/>
      </c>
      <c r="AY17" s="15" t="str">
        <f t="shared" si="15"/>
        <v/>
      </c>
      <c r="BB17" s="14"/>
      <c r="BC17" s="15" t="str">
        <f t="shared" si="25"/>
        <v/>
      </c>
      <c r="BD17" s="66"/>
      <c r="BE17" s="15"/>
      <c r="BF17" s="15"/>
      <c r="BG17" s="15" t="str">
        <f t="shared" si="16"/>
        <v/>
      </c>
      <c r="BH17" s="15" t="str">
        <f t="shared" si="17"/>
        <v/>
      </c>
      <c r="BI17" s="15" t="str">
        <f t="shared" si="18"/>
        <v/>
      </c>
    </row>
    <row r="18" spans="1:64" ht="16.5" thickTop="1" thickBot="1" x14ac:dyDescent="0.3">
      <c r="A18" s="154"/>
      <c r="B18" s="79" t="s">
        <v>21</v>
      </c>
      <c r="C18" s="5">
        <v>0</v>
      </c>
      <c r="D18" s="96" t="s">
        <v>8</v>
      </c>
      <c r="E18" s="36"/>
      <c r="F18" s="14"/>
      <c r="G18" s="15" t="str">
        <f t="shared" si="19"/>
        <v/>
      </c>
      <c r="H18" s="15" t="str">
        <f t="shared" si="20"/>
        <v/>
      </c>
      <c r="I18" s="25">
        <v>0</v>
      </c>
      <c r="J18" s="20" t="s">
        <v>40</v>
      </c>
      <c r="K18" s="66">
        <v>0.12</v>
      </c>
      <c r="L18" s="15" t="str">
        <f t="shared" si="1"/>
        <v/>
      </c>
      <c r="M18" s="15" t="str">
        <f t="shared" si="2"/>
        <v/>
      </c>
      <c r="N18" s="15" t="str">
        <f t="shared" si="3"/>
        <v/>
      </c>
      <c r="O18" s="15">
        <v>0</v>
      </c>
      <c r="P18" s="115" t="s">
        <v>134</v>
      </c>
      <c r="Q18" s="115"/>
      <c r="R18" s="115"/>
      <c r="S18" s="115"/>
      <c r="T18" s="115"/>
      <c r="U18" s="116" t="s">
        <v>143</v>
      </c>
      <c r="V18" s="14"/>
      <c r="W18" s="15" t="str">
        <f t="shared" si="21"/>
        <v/>
      </c>
      <c r="X18" s="66">
        <v>0.12</v>
      </c>
      <c r="Y18" s="15" t="str">
        <f t="shared" si="4"/>
        <v/>
      </c>
      <c r="Z18" s="15" t="str">
        <f t="shared" si="5"/>
        <v/>
      </c>
      <c r="AA18" s="15" t="str">
        <f t="shared" si="6"/>
        <v/>
      </c>
      <c r="AD18" s="14"/>
      <c r="AE18" s="15" t="str">
        <f t="shared" si="22"/>
        <v/>
      </c>
      <c r="AF18" s="66">
        <v>0.12</v>
      </c>
      <c r="AG18" s="15" t="str">
        <f t="shared" si="7"/>
        <v/>
      </c>
      <c r="AH18" s="15" t="str">
        <f t="shared" si="8"/>
        <v/>
      </c>
      <c r="AI18" s="15" t="str">
        <f t="shared" si="9"/>
        <v/>
      </c>
      <c r="AL18" s="14"/>
      <c r="AM18" s="15" t="str">
        <f t="shared" si="23"/>
        <v/>
      </c>
      <c r="AN18" s="66">
        <v>0.12</v>
      </c>
      <c r="AO18" s="15" t="str">
        <f t="shared" si="10"/>
        <v/>
      </c>
      <c r="AP18" s="15" t="str">
        <f t="shared" si="11"/>
        <v/>
      </c>
      <c r="AQ18" s="15" t="str">
        <f t="shared" si="12"/>
        <v/>
      </c>
      <c r="AT18" s="14"/>
      <c r="AU18" s="15" t="str">
        <f t="shared" si="24"/>
        <v/>
      </c>
      <c r="AV18" s="66">
        <v>0.12</v>
      </c>
      <c r="AW18" s="15" t="str">
        <f t="shared" si="13"/>
        <v/>
      </c>
      <c r="AX18" s="15" t="str">
        <f t="shared" si="14"/>
        <v/>
      </c>
      <c r="AY18" s="15" t="str">
        <f t="shared" si="15"/>
        <v/>
      </c>
      <c r="BB18" s="14"/>
      <c r="BC18" s="15" t="str">
        <f t="shared" si="25"/>
        <v/>
      </c>
      <c r="BD18" s="66">
        <v>0.12</v>
      </c>
      <c r="BE18" s="15"/>
      <c r="BF18" s="15"/>
      <c r="BG18" s="15" t="str">
        <f t="shared" si="16"/>
        <v/>
      </c>
      <c r="BH18" s="15" t="str">
        <f t="shared" si="17"/>
        <v/>
      </c>
      <c r="BI18" s="15" t="str">
        <f t="shared" si="18"/>
        <v/>
      </c>
    </row>
    <row r="19" spans="1:64" ht="16.5" thickTop="1" thickBot="1" x14ac:dyDescent="0.3">
      <c r="A19" s="155"/>
      <c r="B19" s="78" t="s">
        <v>22</v>
      </c>
      <c r="C19" s="7">
        <v>0</v>
      </c>
      <c r="D19" s="97" t="s">
        <v>8</v>
      </c>
      <c r="E19" s="36"/>
      <c r="F19" s="14"/>
      <c r="G19" s="15" t="str">
        <f t="shared" si="19"/>
        <v/>
      </c>
      <c r="H19" s="15" t="str">
        <f t="shared" si="20"/>
        <v/>
      </c>
      <c r="I19" s="25">
        <v>0</v>
      </c>
      <c r="J19" s="21" t="s">
        <v>40</v>
      </c>
      <c r="K19" s="66">
        <v>0.26</v>
      </c>
      <c r="L19" s="15" t="str">
        <f t="shared" si="1"/>
        <v/>
      </c>
      <c r="M19" s="15" t="str">
        <f t="shared" si="2"/>
        <v/>
      </c>
      <c r="N19" s="15" t="str">
        <f t="shared" si="3"/>
        <v/>
      </c>
      <c r="O19" s="15">
        <v>0</v>
      </c>
      <c r="V19" s="14"/>
      <c r="W19" s="15" t="str">
        <f t="shared" si="21"/>
        <v/>
      </c>
      <c r="X19" s="66">
        <v>0.26</v>
      </c>
      <c r="Y19" s="15" t="str">
        <f t="shared" si="4"/>
        <v/>
      </c>
      <c r="Z19" s="15" t="str">
        <f t="shared" si="5"/>
        <v/>
      </c>
      <c r="AA19" s="15" t="str">
        <f t="shared" si="6"/>
        <v/>
      </c>
      <c r="AD19" s="14"/>
      <c r="AE19" s="15" t="str">
        <f t="shared" si="22"/>
        <v/>
      </c>
      <c r="AF19" s="66">
        <v>0.26</v>
      </c>
      <c r="AG19" s="15" t="str">
        <f t="shared" si="7"/>
        <v/>
      </c>
      <c r="AH19" s="15" t="str">
        <f t="shared" si="8"/>
        <v/>
      </c>
      <c r="AI19" s="15" t="str">
        <f t="shared" si="9"/>
        <v/>
      </c>
      <c r="AL19" s="14"/>
      <c r="AM19" s="15" t="str">
        <f t="shared" si="23"/>
        <v/>
      </c>
      <c r="AN19" s="66">
        <v>0.26</v>
      </c>
      <c r="AO19" s="15" t="str">
        <f t="shared" si="10"/>
        <v/>
      </c>
      <c r="AP19" s="15" t="str">
        <f t="shared" si="11"/>
        <v/>
      </c>
      <c r="AQ19" s="15" t="str">
        <f t="shared" si="12"/>
        <v/>
      </c>
      <c r="AT19" s="14"/>
      <c r="AU19" s="15" t="str">
        <f t="shared" si="24"/>
        <v/>
      </c>
      <c r="AV19" s="66">
        <v>0.26</v>
      </c>
      <c r="AW19" s="15" t="str">
        <f t="shared" si="13"/>
        <v/>
      </c>
      <c r="AX19" s="15" t="str">
        <f t="shared" si="14"/>
        <v/>
      </c>
      <c r="AY19" s="15" t="str">
        <f t="shared" si="15"/>
        <v/>
      </c>
      <c r="BB19" s="14"/>
      <c r="BC19" s="15" t="str">
        <f t="shared" si="25"/>
        <v/>
      </c>
      <c r="BD19" s="66">
        <v>0.26</v>
      </c>
      <c r="BE19" s="15"/>
      <c r="BF19" s="15"/>
      <c r="BG19" s="15" t="str">
        <f t="shared" si="16"/>
        <v/>
      </c>
      <c r="BH19" s="15" t="str">
        <f t="shared" si="17"/>
        <v/>
      </c>
      <c r="BI19" s="15" t="str">
        <f t="shared" si="18"/>
        <v/>
      </c>
    </row>
    <row r="20" spans="1:64" ht="16.5" thickTop="1" thickBot="1" x14ac:dyDescent="0.3">
      <c r="A20" s="99" t="s">
        <v>23</v>
      </c>
      <c r="B20" s="79" t="s">
        <v>24</v>
      </c>
      <c r="C20" s="5">
        <v>0.246</v>
      </c>
      <c r="D20" s="94" t="s">
        <v>6</v>
      </c>
      <c r="E20" s="35"/>
      <c r="F20" s="14"/>
      <c r="G20" s="15" t="str">
        <f t="shared" si="19"/>
        <v/>
      </c>
      <c r="H20" s="15" t="str">
        <f t="shared" si="20"/>
        <v/>
      </c>
      <c r="I20" s="25">
        <f>1000/C20</f>
        <v>4065.040650406504</v>
      </c>
      <c r="J20" s="22" t="s">
        <v>39</v>
      </c>
      <c r="K20" s="66">
        <v>1.5</v>
      </c>
      <c r="L20" s="15" t="str">
        <f t="shared" si="1"/>
        <v/>
      </c>
      <c r="M20" s="15" t="str">
        <f t="shared" si="2"/>
        <v/>
      </c>
      <c r="N20" s="15" t="str">
        <f t="shared" si="3"/>
        <v/>
      </c>
      <c r="O20" s="15">
        <v>0</v>
      </c>
      <c r="V20" s="14"/>
      <c r="W20" s="15" t="str">
        <f t="shared" si="21"/>
        <v/>
      </c>
      <c r="X20" s="66">
        <v>1.5</v>
      </c>
      <c r="Y20" s="15" t="str">
        <f t="shared" si="4"/>
        <v/>
      </c>
      <c r="Z20" s="15" t="str">
        <f t="shared" si="5"/>
        <v/>
      </c>
      <c r="AA20" s="15" t="str">
        <f t="shared" si="6"/>
        <v/>
      </c>
      <c r="AD20" s="14"/>
      <c r="AE20" s="15" t="str">
        <f t="shared" si="22"/>
        <v/>
      </c>
      <c r="AF20" s="66">
        <v>1.5</v>
      </c>
      <c r="AG20" s="15" t="str">
        <f t="shared" si="7"/>
        <v/>
      </c>
      <c r="AH20" s="15" t="str">
        <f t="shared" si="8"/>
        <v/>
      </c>
      <c r="AI20" s="15" t="str">
        <f t="shared" si="9"/>
        <v/>
      </c>
      <c r="AL20" s="14"/>
      <c r="AM20" s="15" t="str">
        <f t="shared" si="23"/>
        <v/>
      </c>
      <c r="AN20" s="66">
        <v>1.5</v>
      </c>
      <c r="AO20" s="15" t="str">
        <f t="shared" si="10"/>
        <v/>
      </c>
      <c r="AP20" s="15" t="str">
        <f t="shared" si="11"/>
        <v/>
      </c>
      <c r="AQ20" s="15" t="str">
        <f t="shared" si="12"/>
        <v/>
      </c>
      <c r="AT20" s="14"/>
      <c r="AU20" s="15" t="str">
        <f t="shared" si="24"/>
        <v/>
      </c>
      <c r="AV20" s="66">
        <v>1.5</v>
      </c>
      <c r="AW20" s="15" t="str">
        <f t="shared" si="13"/>
        <v/>
      </c>
      <c r="AX20" s="15" t="str">
        <f t="shared" si="14"/>
        <v/>
      </c>
      <c r="AY20" s="15" t="str">
        <f t="shared" si="15"/>
        <v/>
      </c>
      <c r="BB20" s="14"/>
      <c r="BC20" s="15" t="str">
        <f t="shared" si="25"/>
        <v/>
      </c>
      <c r="BD20" s="66">
        <v>1.5</v>
      </c>
      <c r="BE20" s="15"/>
      <c r="BF20" s="15"/>
      <c r="BG20" s="15" t="str">
        <f t="shared" si="16"/>
        <v/>
      </c>
      <c r="BH20" s="15" t="str">
        <f t="shared" si="17"/>
        <v/>
      </c>
      <c r="BI20" s="15" t="str">
        <f t="shared" si="18"/>
        <v/>
      </c>
    </row>
    <row r="21" spans="1:64" ht="16.5" thickTop="1" thickBot="1" x14ac:dyDescent="0.3">
      <c r="A21" s="99" t="s">
        <v>0</v>
      </c>
      <c r="B21" s="78" t="s">
        <v>25</v>
      </c>
      <c r="C21" s="7">
        <v>2.44</v>
      </c>
      <c r="D21" s="97" t="s">
        <v>11</v>
      </c>
      <c r="E21" s="37"/>
      <c r="F21" s="14">
        <v>600</v>
      </c>
      <c r="G21" s="15">
        <f t="shared" si="19"/>
        <v>1464</v>
      </c>
      <c r="H21" s="15">
        <f t="shared" si="20"/>
        <v>1.464</v>
      </c>
      <c r="I21" s="25">
        <f>1000/C21</f>
        <v>409.8360655737705</v>
      </c>
      <c r="J21" s="21" t="s">
        <v>41</v>
      </c>
      <c r="K21" s="66">
        <v>1.5</v>
      </c>
      <c r="L21" s="15">
        <f t="shared" si="1"/>
        <v>900</v>
      </c>
      <c r="M21" s="15">
        <f t="shared" si="2"/>
        <v>263.52</v>
      </c>
      <c r="N21" s="15">
        <f t="shared" si="3"/>
        <v>0.439</v>
      </c>
      <c r="O21" s="15">
        <v>0</v>
      </c>
      <c r="V21" s="14">
        <v>1000</v>
      </c>
      <c r="W21" s="15">
        <f t="shared" si="21"/>
        <v>2.44</v>
      </c>
      <c r="X21" s="66">
        <v>1.5</v>
      </c>
      <c r="Y21" s="15">
        <f t="shared" si="4"/>
        <v>1500</v>
      </c>
      <c r="Z21" s="15">
        <f t="shared" si="5"/>
        <v>439.2</v>
      </c>
      <c r="AA21" s="15">
        <f t="shared" si="6"/>
        <v>0.439</v>
      </c>
      <c r="AD21" s="14"/>
      <c r="AE21" s="15" t="str">
        <f t="shared" si="22"/>
        <v/>
      </c>
      <c r="AF21" s="66">
        <v>1.5</v>
      </c>
      <c r="AG21" s="15" t="str">
        <f t="shared" si="7"/>
        <v/>
      </c>
      <c r="AH21" s="15" t="str">
        <f t="shared" si="8"/>
        <v/>
      </c>
      <c r="AI21" s="15" t="str">
        <f t="shared" si="9"/>
        <v/>
      </c>
      <c r="AL21" s="14"/>
      <c r="AM21" s="15" t="str">
        <f t="shared" si="23"/>
        <v/>
      </c>
      <c r="AN21" s="66">
        <v>1.5</v>
      </c>
      <c r="AO21" s="15" t="str">
        <f t="shared" si="10"/>
        <v/>
      </c>
      <c r="AP21" s="15" t="str">
        <f t="shared" si="11"/>
        <v/>
      </c>
      <c r="AQ21" s="15" t="str">
        <f t="shared" si="12"/>
        <v/>
      </c>
      <c r="AT21" s="14"/>
      <c r="AU21" s="15" t="str">
        <f t="shared" si="24"/>
        <v/>
      </c>
      <c r="AV21" s="66">
        <v>1.5</v>
      </c>
      <c r="AW21" s="15" t="str">
        <f t="shared" si="13"/>
        <v/>
      </c>
      <c r="AX21" s="15" t="str">
        <f t="shared" si="14"/>
        <v/>
      </c>
      <c r="AY21" s="15" t="str">
        <f t="shared" si="15"/>
        <v/>
      </c>
      <c r="BB21" s="14"/>
      <c r="BC21" s="15" t="str">
        <f t="shared" si="25"/>
        <v/>
      </c>
      <c r="BD21" s="66">
        <v>1.5</v>
      </c>
      <c r="BE21" s="15"/>
      <c r="BF21" s="15"/>
      <c r="BG21" s="15" t="str">
        <f t="shared" si="16"/>
        <v/>
      </c>
      <c r="BH21" s="15" t="str">
        <f t="shared" si="17"/>
        <v/>
      </c>
      <c r="BI21" s="15" t="str">
        <f t="shared" si="18"/>
        <v/>
      </c>
    </row>
    <row r="22" spans="1:64" ht="16.5" thickTop="1" thickBot="1" x14ac:dyDescent="0.3">
      <c r="A22" s="99" t="s">
        <v>0</v>
      </c>
      <c r="B22" s="79" t="s">
        <v>26</v>
      </c>
      <c r="C22" s="5">
        <v>2.16</v>
      </c>
      <c r="D22" s="96" t="s">
        <v>11</v>
      </c>
      <c r="E22" s="37"/>
      <c r="F22" s="14">
        <v>600</v>
      </c>
      <c r="G22" s="15">
        <f t="shared" si="19"/>
        <v>1296</v>
      </c>
      <c r="H22" s="15">
        <f t="shared" si="20"/>
        <v>1.296</v>
      </c>
      <c r="I22" s="25">
        <f>1000/C22</f>
        <v>462.96296296296293</v>
      </c>
      <c r="J22" s="20" t="s">
        <v>41</v>
      </c>
      <c r="K22" s="66">
        <v>1.5</v>
      </c>
      <c r="L22" s="15">
        <f t="shared" si="1"/>
        <v>900</v>
      </c>
      <c r="M22" s="15">
        <f t="shared" si="2"/>
        <v>233.28</v>
      </c>
      <c r="N22" s="15">
        <f t="shared" si="3"/>
        <v>0.38900000000000001</v>
      </c>
      <c r="O22" s="15"/>
      <c r="V22" s="14"/>
      <c r="W22" s="15" t="str">
        <f t="shared" si="21"/>
        <v/>
      </c>
      <c r="X22" s="66">
        <v>1.5</v>
      </c>
      <c r="Y22" s="15" t="str">
        <f t="shared" si="4"/>
        <v/>
      </c>
      <c r="Z22" s="15" t="str">
        <f t="shared" si="5"/>
        <v/>
      </c>
      <c r="AA22" s="15" t="str">
        <f t="shared" si="6"/>
        <v/>
      </c>
      <c r="AD22" s="14">
        <v>1000</v>
      </c>
      <c r="AE22" s="15">
        <f t="shared" si="22"/>
        <v>2.16</v>
      </c>
      <c r="AF22" s="66">
        <v>1.5</v>
      </c>
      <c r="AG22" s="15">
        <f t="shared" si="7"/>
        <v>1500</v>
      </c>
      <c r="AH22" s="15">
        <f t="shared" si="8"/>
        <v>388.8</v>
      </c>
      <c r="AI22" s="15">
        <f t="shared" si="9"/>
        <v>0.38900000000000001</v>
      </c>
      <c r="AL22" s="14">
        <v>1000</v>
      </c>
      <c r="AM22" s="15">
        <f t="shared" si="23"/>
        <v>2.16</v>
      </c>
      <c r="AN22" s="66">
        <v>1.5</v>
      </c>
      <c r="AO22" s="15">
        <f t="shared" si="10"/>
        <v>1500</v>
      </c>
      <c r="AP22" s="15">
        <f t="shared" si="11"/>
        <v>388.8</v>
      </c>
      <c r="AQ22" s="15">
        <f t="shared" si="12"/>
        <v>0.38900000000000001</v>
      </c>
      <c r="AT22" s="14">
        <v>1000</v>
      </c>
      <c r="AU22" s="15">
        <f t="shared" si="24"/>
        <v>2.16</v>
      </c>
      <c r="AV22" s="66">
        <v>1.5</v>
      </c>
      <c r="AW22" s="15">
        <f t="shared" si="13"/>
        <v>1500</v>
      </c>
      <c r="AX22" s="15">
        <f t="shared" si="14"/>
        <v>388.8</v>
      </c>
      <c r="AY22" s="15">
        <f t="shared" si="15"/>
        <v>0.38900000000000001</v>
      </c>
      <c r="BB22" s="14">
        <v>1000</v>
      </c>
      <c r="BC22" s="15">
        <f t="shared" si="25"/>
        <v>2.16</v>
      </c>
      <c r="BD22" s="66">
        <v>1.5</v>
      </c>
      <c r="BE22" s="15"/>
      <c r="BF22" s="15"/>
      <c r="BG22" s="15">
        <f t="shared" si="16"/>
        <v>1500</v>
      </c>
      <c r="BH22" s="15">
        <f t="shared" si="17"/>
        <v>388.8</v>
      </c>
      <c r="BI22" s="15">
        <f t="shared" si="18"/>
        <v>0.38900000000000001</v>
      </c>
    </row>
    <row r="23" spans="1:64" ht="15.75" thickTop="1" x14ac:dyDescent="0.25">
      <c r="A23" s="100"/>
      <c r="B23" s="80" t="s">
        <v>27</v>
      </c>
      <c r="C23" s="4">
        <v>0.24299999999999999</v>
      </c>
      <c r="D23" s="101" t="s">
        <v>6</v>
      </c>
      <c r="E23" s="35"/>
      <c r="F23" s="14"/>
      <c r="G23" s="15" t="str">
        <f t="shared" si="19"/>
        <v/>
      </c>
      <c r="H23" s="15" t="str">
        <f t="shared" si="20"/>
        <v/>
      </c>
      <c r="I23" s="25">
        <f>1000/C23</f>
        <v>4115.2263374485601</v>
      </c>
      <c r="J23" s="19" t="s">
        <v>39</v>
      </c>
      <c r="K23" s="66">
        <v>1.5</v>
      </c>
      <c r="L23" s="15" t="str">
        <f t="shared" si="1"/>
        <v/>
      </c>
      <c r="M23" s="15" t="str">
        <f t="shared" si="2"/>
        <v/>
      </c>
      <c r="N23" s="15" t="str">
        <f t="shared" si="3"/>
        <v/>
      </c>
      <c r="O23" s="15">
        <v>0</v>
      </c>
      <c r="V23" s="14"/>
      <c r="W23" s="15" t="str">
        <f t="shared" si="21"/>
        <v/>
      </c>
      <c r="X23" s="66">
        <v>1.5</v>
      </c>
      <c r="Y23" s="15" t="str">
        <f t="shared" si="4"/>
        <v/>
      </c>
      <c r="Z23" s="15" t="str">
        <f t="shared" si="5"/>
        <v/>
      </c>
      <c r="AA23" s="15" t="str">
        <f t="shared" si="6"/>
        <v/>
      </c>
      <c r="AD23" s="14"/>
      <c r="AE23" s="15" t="str">
        <f t="shared" si="22"/>
        <v/>
      </c>
      <c r="AF23" s="66">
        <v>1.5</v>
      </c>
      <c r="AG23" s="15" t="str">
        <f t="shared" si="7"/>
        <v/>
      </c>
      <c r="AH23" s="15" t="str">
        <f t="shared" si="8"/>
        <v/>
      </c>
      <c r="AI23" s="15" t="str">
        <f t="shared" si="9"/>
        <v/>
      </c>
      <c r="AL23" s="14"/>
      <c r="AM23" s="15" t="str">
        <f t="shared" si="23"/>
        <v/>
      </c>
      <c r="AN23" s="66">
        <v>1.5</v>
      </c>
      <c r="AO23" s="15" t="str">
        <f t="shared" si="10"/>
        <v/>
      </c>
      <c r="AP23" s="15" t="str">
        <f t="shared" si="11"/>
        <v/>
      </c>
      <c r="AQ23" s="15" t="str">
        <f t="shared" si="12"/>
        <v/>
      </c>
      <c r="AT23" s="14"/>
      <c r="AU23" s="15" t="str">
        <f t="shared" si="24"/>
        <v/>
      </c>
      <c r="AV23" s="66">
        <v>1.5</v>
      </c>
      <c r="AW23" s="15" t="str">
        <f t="shared" si="13"/>
        <v/>
      </c>
      <c r="AX23" s="15" t="str">
        <f t="shared" si="14"/>
        <v/>
      </c>
      <c r="AY23" s="15" t="str">
        <f t="shared" si="15"/>
        <v/>
      </c>
      <c r="BB23" s="14"/>
      <c r="BC23" s="15" t="str">
        <f t="shared" si="25"/>
        <v/>
      </c>
      <c r="BD23" s="66">
        <v>1.5</v>
      </c>
      <c r="BE23" s="15"/>
      <c r="BF23" s="15"/>
      <c r="BG23" s="15" t="str">
        <f t="shared" si="16"/>
        <v/>
      </c>
      <c r="BH23" s="15" t="str">
        <f t="shared" si="17"/>
        <v/>
      </c>
      <c r="BI23" s="15" t="str">
        <f t="shared" si="18"/>
        <v/>
      </c>
    </row>
    <row r="24" spans="1:64" ht="15.75" thickBot="1" x14ac:dyDescent="0.3">
      <c r="A24" s="102" t="s">
        <v>29</v>
      </c>
      <c r="B24" s="83" t="s">
        <v>30</v>
      </c>
      <c r="C24" s="3">
        <v>0.314</v>
      </c>
      <c r="D24" s="94" t="s">
        <v>6</v>
      </c>
      <c r="E24" s="35"/>
      <c r="F24" s="14">
        <v>26448.000000000004</v>
      </c>
      <c r="G24" s="15">
        <f t="shared" si="19"/>
        <v>8304.6720000000005</v>
      </c>
      <c r="H24" s="15">
        <f t="shared" si="20"/>
        <v>8.3049999999999997</v>
      </c>
      <c r="I24" s="25">
        <f>1000/C24</f>
        <v>3184.7133757961783</v>
      </c>
      <c r="J24" s="22" t="s">
        <v>39</v>
      </c>
      <c r="K24" s="66">
        <v>0.09</v>
      </c>
      <c r="L24" s="15">
        <f t="shared" si="1"/>
        <v>2380.3200000000002</v>
      </c>
      <c r="M24" s="15">
        <f t="shared" si="2"/>
        <v>1494.9</v>
      </c>
      <c r="N24" s="15">
        <f>IF(F24&gt;0.2,ROUND(M24/F24,3),"")</f>
        <v>5.7000000000000002E-2</v>
      </c>
      <c r="O24" s="15">
        <v>10</v>
      </c>
      <c r="V24" s="14"/>
      <c r="W24" s="15" t="str">
        <f t="shared" si="21"/>
        <v/>
      </c>
      <c r="X24" s="66">
        <v>0.09</v>
      </c>
      <c r="Y24" s="15" t="str">
        <f t="shared" si="4"/>
        <v/>
      </c>
      <c r="Z24" s="15" t="str">
        <f t="shared" si="5"/>
        <v/>
      </c>
      <c r="AA24" s="15" t="str">
        <f t="shared" si="6"/>
        <v/>
      </c>
      <c r="AD24" s="14"/>
      <c r="AE24" s="15" t="str">
        <f t="shared" si="22"/>
        <v/>
      </c>
      <c r="AF24" s="66">
        <v>0.09</v>
      </c>
      <c r="AG24" s="15" t="str">
        <f t="shared" si="7"/>
        <v/>
      </c>
      <c r="AH24" s="15" t="str">
        <f t="shared" si="8"/>
        <v/>
      </c>
      <c r="AI24" s="15" t="str">
        <f t="shared" si="9"/>
        <v/>
      </c>
      <c r="AL24" s="14">
        <v>25000</v>
      </c>
      <c r="AM24" s="15">
        <f t="shared" si="23"/>
        <v>7.85</v>
      </c>
      <c r="AN24" s="66">
        <v>0.09</v>
      </c>
      <c r="AO24" s="15">
        <f t="shared" si="10"/>
        <v>2250</v>
      </c>
      <c r="AP24" s="15">
        <f t="shared" si="11"/>
        <v>1413</v>
      </c>
      <c r="AQ24" s="15">
        <f t="shared" si="12"/>
        <v>5.7000000000000002E-2</v>
      </c>
      <c r="AT24" s="14"/>
      <c r="AU24" s="15" t="str">
        <f t="shared" si="24"/>
        <v/>
      </c>
      <c r="AV24" s="66">
        <v>0.09</v>
      </c>
      <c r="AW24" s="15" t="str">
        <f t="shared" si="13"/>
        <v/>
      </c>
      <c r="AX24" s="15" t="str">
        <f t="shared" si="14"/>
        <v/>
      </c>
      <c r="AY24" s="15" t="str">
        <f t="shared" si="15"/>
        <v/>
      </c>
      <c r="BB24" s="14"/>
      <c r="BC24" s="15" t="str">
        <f t="shared" si="25"/>
        <v/>
      </c>
      <c r="BD24" s="66">
        <v>0.09</v>
      </c>
      <c r="BE24" s="15"/>
      <c r="BF24" s="15"/>
      <c r="BG24" s="15" t="str">
        <f t="shared" si="16"/>
        <v/>
      </c>
      <c r="BH24" s="15" t="str">
        <f t="shared" si="17"/>
        <v/>
      </c>
      <c r="BI24" s="15" t="str">
        <f t="shared" si="18"/>
        <v/>
      </c>
    </row>
    <row r="25" spans="1:64" ht="15.75" thickBot="1" x14ac:dyDescent="0.3">
      <c r="A25" s="103" t="s">
        <v>31</v>
      </c>
      <c r="B25" s="88" t="s">
        <v>32</v>
      </c>
      <c r="C25" s="7">
        <v>0</v>
      </c>
      <c r="D25" s="97" t="s">
        <v>8</v>
      </c>
      <c r="E25" s="36"/>
      <c r="F25" s="14"/>
      <c r="G25" s="15" t="str">
        <f>IF(F25&gt;0.1,ROUND(C25*F25,3),"")</f>
        <v/>
      </c>
      <c r="H25" s="15" t="str">
        <f>IF(F25&gt;0.1,ROUND((C25*F25)/1000,3),"")</f>
        <v/>
      </c>
      <c r="I25" s="25">
        <v>0</v>
      </c>
      <c r="J25" s="21" t="s">
        <v>40</v>
      </c>
      <c r="K25" s="66"/>
      <c r="L25" s="15" t="str">
        <f t="shared" si="1"/>
        <v/>
      </c>
      <c r="M25" s="15" t="str">
        <f t="shared" si="2"/>
        <v/>
      </c>
      <c r="N25" s="15" t="str">
        <f t="shared" ref="N25:N26" si="26">IF(F25&gt;0.2,ROUND(M25/F25,3),"")</f>
        <v/>
      </c>
      <c r="O25" s="15">
        <v>0</v>
      </c>
      <c r="V25" s="14"/>
      <c r="W25" s="15" t="str">
        <f t="shared" si="21"/>
        <v/>
      </c>
      <c r="X25" s="66"/>
      <c r="Y25" s="15" t="str">
        <f t="shared" si="4"/>
        <v/>
      </c>
      <c r="Z25" s="15" t="str">
        <f t="shared" si="5"/>
        <v/>
      </c>
      <c r="AA25" s="15" t="str">
        <f t="shared" si="6"/>
        <v/>
      </c>
      <c r="AD25" s="14"/>
      <c r="AE25" s="15" t="str">
        <f t="shared" si="22"/>
        <v/>
      </c>
      <c r="AF25" s="66"/>
      <c r="AG25" s="15" t="str">
        <f t="shared" si="7"/>
        <v/>
      </c>
      <c r="AH25" s="15" t="str">
        <f t="shared" si="8"/>
        <v/>
      </c>
      <c r="AI25" s="15" t="str">
        <f t="shared" si="9"/>
        <v/>
      </c>
      <c r="AL25" s="14"/>
      <c r="AM25" s="15" t="str">
        <f t="shared" si="23"/>
        <v/>
      </c>
      <c r="AN25" s="66"/>
      <c r="AO25" s="15" t="str">
        <f t="shared" si="10"/>
        <v/>
      </c>
      <c r="AP25" s="15" t="str">
        <f t="shared" si="11"/>
        <v/>
      </c>
      <c r="AQ25" s="15" t="str">
        <f t="shared" si="12"/>
        <v/>
      </c>
      <c r="AT25" s="14">
        <v>10000</v>
      </c>
      <c r="AU25" s="15">
        <f t="shared" si="24"/>
        <v>0</v>
      </c>
      <c r="AV25" s="66"/>
      <c r="AW25" s="15">
        <f t="shared" si="13"/>
        <v>0</v>
      </c>
      <c r="AX25" s="15">
        <f t="shared" si="14"/>
        <v>0</v>
      </c>
      <c r="AY25" s="15">
        <f t="shared" si="15"/>
        <v>0</v>
      </c>
      <c r="BB25" s="14"/>
      <c r="BC25" s="15" t="str">
        <f t="shared" si="25"/>
        <v/>
      </c>
      <c r="BD25" s="66"/>
      <c r="BE25" s="15"/>
      <c r="BF25" s="15"/>
      <c r="BG25" s="15" t="str">
        <f t="shared" si="16"/>
        <v/>
      </c>
      <c r="BH25" s="15" t="str">
        <f t="shared" si="17"/>
        <v/>
      </c>
      <c r="BI25" s="15" t="str">
        <f t="shared" si="18"/>
        <v/>
      </c>
    </row>
    <row r="26" spans="1:64" ht="16.5" thickTop="1" thickBot="1" x14ac:dyDescent="0.3">
      <c r="A26" s="104" t="s">
        <v>33</v>
      </c>
      <c r="B26" s="105" t="s">
        <v>34</v>
      </c>
      <c r="C26" s="106">
        <v>0.53300000000000003</v>
      </c>
      <c r="D26" s="107" t="s">
        <v>6</v>
      </c>
      <c r="E26" s="39"/>
      <c r="F26" s="14">
        <v>26448.000000000004</v>
      </c>
      <c r="G26" s="64">
        <f>IF(F26&gt;0.1,ROUND(C26*F26,3),"")</f>
        <v>14096.784</v>
      </c>
      <c r="H26" s="64">
        <f>IF(F26&gt;0.1,ROUND((C26*F26)/1000,3),"")</f>
        <v>14.097</v>
      </c>
      <c r="I26" s="40">
        <f>1000/C26</f>
        <v>1876.172607879925</v>
      </c>
      <c r="J26" s="43" t="s">
        <v>39</v>
      </c>
      <c r="K26" s="67">
        <v>0.3</v>
      </c>
      <c r="L26" s="64">
        <f t="shared" si="1"/>
        <v>7934.4</v>
      </c>
      <c r="M26" s="64">
        <f t="shared" si="2"/>
        <v>2537.46</v>
      </c>
      <c r="N26" s="15">
        <f t="shared" si="26"/>
        <v>9.6000000000000002E-2</v>
      </c>
      <c r="O26" s="64">
        <v>100</v>
      </c>
      <c r="P26" t="s">
        <v>59</v>
      </c>
      <c r="V26" s="14">
        <v>3000</v>
      </c>
      <c r="W26" s="15">
        <f t="shared" si="21"/>
        <v>1.599</v>
      </c>
      <c r="X26" s="67">
        <v>0.3</v>
      </c>
      <c r="Y26" s="64">
        <f t="shared" si="4"/>
        <v>900</v>
      </c>
      <c r="Z26" s="64">
        <f t="shared" si="5"/>
        <v>287.82</v>
      </c>
      <c r="AA26" s="15">
        <f t="shared" si="6"/>
        <v>9.6000000000000002E-2</v>
      </c>
      <c r="AD26" s="14">
        <v>3000</v>
      </c>
      <c r="AE26" s="15">
        <f t="shared" si="22"/>
        <v>1.599</v>
      </c>
      <c r="AF26" s="67">
        <v>0.3</v>
      </c>
      <c r="AG26" s="64">
        <f t="shared" si="7"/>
        <v>900</v>
      </c>
      <c r="AH26" s="64">
        <f t="shared" si="8"/>
        <v>287.82</v>
      </c>
      <c r="AI26" s="15">
        <f t="shared" si="9"/>
        <v>9.6000000000000002E-2</v>
      </c>
      <c r="AL26" s="14">
        <v>3000</v>
      </c>
      <c r="AM26" s="15">
        <f t="shared" si="23"/>
        <v>1.599</v>
      </c>
      <c r="AN26" s="67">
        <v>0.3</v>
      </c>
      <c r="AO26" s="64">
        <f t="shared" si="10"/>
        <v>900</v>
      </c>
      <c r="AP26" s="64">
        <f t="shared" si="11"/>
        <v>287.82</v>
      </c>
      <c r="AQ26" s="15">
        <f t="shared" si="12"/>
        <v>9.6000000000000002E-2</v>
      </c>
      <c r="AT26" s="14">
        <v>3000</v>
      </c>
      <c r="AU26" s="15">
        <f t="shared" si="24"/>
        <v>1.599</v>
      </c>
      <c r="AV26" s="67">
        <v>0.3</v>
      </c>
      <c r="AW26" s="64">
        <f t="shared" si="13"/>
        <v>900</v>
      </c>
      <c r="AX26" s="64">
        <f t="shared" si="14"/>
        <v>287.82</v>
      </c>
      <c r="AY26" s="15">
        <f t="shared" si="15"/>
        <v>9.6000000000000002E-2</v>
      </c>
      <c r="BB26" s="14">
        <v>3000</v>
      </c>
      <c r="BC26" s="15">
        <f t="shared" si="25"/>
        <v>1.599</v>
      </c>
      <c r="BD26" s="67">
        <v>0.3</v>
      </c>
      <c r="BE26" s="64"/>
      <c r="BF26" s="64"/>
      <c r="BG26" s="64">
        <f t="shared" si="16"/>
        <v>900</v>
      </c>
      <c r="BH26" s="64">
        <f t="shared" si="17"/>
        <v>287.82</v>
      </c>
      <c r="BI26" s="15">
        <f t="shared" si="18"/>
        <v>9.6000000000000002E-2</v>
      </c>
    </row>
    <row r="27" spans="1:64" ht="15.75" x14ac:dyDescent="0.25">
      <c r="A27" s="69"/>
      <c r="B27" s="89"/>
      <c r="C27" s="3"/>
      <c r="D27" s="60"/>
      <c r="E27" s="60"/>
      <c r="F27" s="60"/>
      <c r="G27" s="73">
        <f>SUM(G4:G26)</f>
        <v>49354.080000000002</v>
      </c>
      <c r="H27" s="73">
        <f>SUM(H4:H26)</f>
        <v>49.354999999999997</v>
      </c>
      <c r="I27" s="72"/>
      <c r="J27" s="74"/>
      <c r="K27" s="74"/>
      <c r="L27" s="75">
        <f>SUM(L4:L26)</f>
        <v>18146.400000000001</v>
      </c>
      <c r="M27" s="75">
        <f>SUM(M4:M26)</f>
        <v>8883.9000000000015</v>
      </c>
      <c r="O27" s="28"/>
      <c r="V27" s="60"/>
      <c r="W27" s="114">
        <f>SUM(W4:W26)</f>
        <v>8.5890000000000004</v>
      </c>
      <c r="X27" s="74"/>
      <c r="Y27" s="75">
        <f>SUM(Y4:Y26)</f>
        <v>4400</v>
      </c>
      <c r="Z27" s="75">
        <f>SUM(Z4:Z26)</f>
        <v>1546.02</v>
      </c>
      <c r="AD27" s="60"/>
      <c r="AE27" s="114">
        <f>SUM(AE4:AE26)</f>
        <v>10.009</v>
      </c>
      <c r="AF27" s="74"/>
      <c r="AG27" s="75">
        <f>SUM(AG4:AG26)</f>
        <v>2400</v>
      </c>
      <c r="AH27" s="75">
        <f>SUM(AH4:AH26)</f>
        <v>1801.62</v>
      </c>
      <c r="AL27" s="60"/>
      <c r="AM27" s="114">
        <f>SUM(AM4:AM26)</f>
        <v>11.609</v>
      </c>
      <c r="AN27" s="74"/>
      <c r="AO27" s="75">
        <f>SUM(AO4:AO26)</f>
        <v>4650</v>
      </c>
      <c r="AP27" s="75">
        <f>SUM(AP4:AP26)</f>
        <v>2089.62</v>
      </c>
      <c r="AT27" s="60"/>
      <c r="AU27" s="114">
        <f>SUM(AU4:AU26)</f>
        <v>6.4890000000000008</v>
      </c>
      <c r="AV27" s="74"/>
      <c r="AW27" s="75">
        <f>SUM(AW4:AW26)</f>
        <v>3600</v>
      </c>
      <c r="AX27" s="75">
        <f>SUM(AX4:AX26)</f>
        <v>1168.02</v>
      </c>
      <c r="BB27" s="60"/>
      <c r="BC27" s="114">
        <f>SUM(BC4:BC26)</f>
        <v>3.7590000000000003</v>
      </c>
      <c r="BD27" s="74"/>
      <c r="BG27" s="75">
        <f>SUM(BG4:BG26)</f>
        <v>2400</v>
      </c>
      <c r="BH27" s="75">
        <f>SUM(BH4:BH26)</f>
        <v>676.62</v>
      </c>
    </row>
    <row r="28" spans="1:64" ht="15.75" x14ac:dyDescent="0.25">
      <c r="A28" t="s">
        <v>125</v>
      </c>
      <c r="BB28" t="s">
        <v>153</v>
      </c>
      <c r="BC28" s="114">
        <f>BJ38</f>
        <v>25</v>
      </c>
      <c r="BF28" t="s">
        <v>153</v>
      </c>
      <c r="BG28" s="75">
        <f>BL38</f>
        <v>200</v>
      </c>
      <c r="BH28" s="75">
        <f>BK38</f>
        <v>0</v>
      </c>
    </row>
    <row r="29" spans="1:64" ht="15.75" x14ac:dyDescent="0.25">
      <c r="A29" s="69" t="s">
        <v>114</v>
      </c>
      <c r="B29" s="80" t="s">
        <v>34</v>
      </c>
      <c r="C29" s="81">
        <v>0.53300000000000003</v>
      </c>
      <c r="D29" s="82" t="s">
        <v>6</v>
      </c>
      <c r="E29" s="35"/>
      <c r="F29" s="14">
        <v>25000</v>
      </c>
      <c r="G29" s="15">
        <f t="shared" ref="G29:G32" si="27">IF(F29&gt;0.1,ROUND(C29*F29,3),"")</f>
        <v>13325</v>
      </c>
      <c r="H29" s="15">
        <f t="shared" ref="H29" si="28">IF(F29&gt;0.1,ROUND((C29*F29)/1000,3),"")</f>
        <v>13.324999999999999</v>
      </c>
      <c r="I29" s="24">
        <f t="shared" ref="I29:I32" si="29">1000/C29</f>
        <v>1876.172607879925</v>
      </c>
      <c r="J29" s="91" t="s">
        <v>39</v>
      </c>
      <c r="K29" s="71">
        <f>$K$26</f>
        <v>0.3</v>
      </c>
      <c r="L29" s="76">
        <f>IF(F29&gt;0.2,ROUND(F29*K29,3),"")</f>
        <v>7500</v>
      </c>
      <c r="M29" s="76">
        <f t="shared" ref="M29:M37" si="30">IF(F29&gt;0.2,ROUND(H29*LEFT($M$3,3),3),"")</f>
        <v>2398.5</v>
      </c>
      <c r="N29" s="111">
        <f t="shared" ref="N29:N37" si="31">IF(F29&gt;0.2,ROUND(M29/F29,3),"")</f>
        <v>9.6000000000000002E-2</v>
      </c>
      <c r="O29" s="15"/>
      <c r="BB29" t="s">
        <v>154</v>
      </c>
      <c r="BC29" s="114">
        <f>BC28+BC27</f>
        <v>28.759</v>
      </c>
      <c r="BF29" t="s">
        <v>154</v>
      </c>
      <c r="BG29" s="114">
        <f>BG28+BG27</f>
        <v>2600</v>
      </c>
      <c r="BH29" s="114">
        <f>BH28+BH27</f>
        <v>676.62</v>
      </c>
    </row>
    <row r="30" spans="1:64" ht="28.5" customHeight="1" thickBot="1" x14ac:dyDescent="0.3">
      <c r="A30" s="69"/>
      <c r="B30" s="2" t="s">
        <v>127</v>
      </c>
      <c r="C30" s="3">
        <v>0.47099999999999997</v>
      </c>
      <c r="D30" s="85" t="s">
        <v>6</v>
      </c>
      <c r="E30" s="35"/>
      <c r="F30" s="14">
        <v>2000</v>
      </c>
      <c r="G30" s="16">
        <f t="shared" ref="G30" si="32">IF(F30&gt;0.1,ROUND(C30*F30,3),"")</f>
        <v>942</v>
      </c>
      <c r="H30" s="16">
        <f t="shared" ref="H30" si="33">IF(F30&gt;0.1,ROUND((C30*F30)/1000,3),"")</f>
        <v>0.94199999999999995</v>
      </c>
      <c r="I30" s="25">
        <f>1000/C30</f>
        <v>2123.1422505307855</v>
      </c>
      <c r="J30" s="23" t="s">
        <v>39</v>
      </c>
      <c r="K30" s="66">
        <f t="shared" ref="K30" si="34">$K$26</f>
        <v>0.3</v>
      </c>
      <c r="L30" s="77">
        <f>IF(F30&gt;0.2,ROUND(F30*K30,3),"")</f>
        <v>600</v>
      </c>
      <c r="M30" s="77">
        <f t="shared" si="30"/>
        <v>169.56</v>
      </c>
      <c r="N30" s="112">
        <f t="shared" si="31"/>
        <v>8.5000000000000006E-2</v>
      </c>
      <c r="O30" s="15">
        <f>0.0004*76324000000/1000000</f>
        <v>30.529599999999999</v>
      </c>
      <c r="P30" t="s">
        <v>126</v>
      </c>
    </row>
    <row r="31" spans="1:64" ht="15.75" thickBot="1" x14ac:dyDescent="0.3">
      <c r="A31" s="69"/>
      <c r="B31" s="83" t="s">
        <v>133</v>
      </c>
      <c r="C31" s="84">
        <v>0.81</v>
      </c>
      <c r="D31" s="85" t="s">
        <v>6</v>
      </c>
      <c r="E31" s="35"/>
      <c r="F31" s="14">
        <v>2000</v>
      </c>
      <c r="G31" s="16">
        <f>IF(F31&gt;0.1,ROUND(C31*F31,3),"")</f>
        <v>1620</v>
      </c>
      <c r="H31" s="16">
        <f>IF(F31&gt;0.1,ROUND((C31*F31)/1000,3),"")</f>
        <v>1.62</v>
      </c>
      <c r="I31" s="25">
        <f>1000/C31</f>
        <v>1234.5679012345679</v>
      </c>
      <c r="J31" s="20" t="s">
        <v>39</v>
      </c>
      <c r="K31" s="66">
        <v>0.25</v>
      </c>
      <c r="L31" s="16">
        <f>IF(F31&gt;0.2,ROUND(F31*K31,3),"")</f>
        <v>500</v>
      </c>
      <c r="M31" s="16">
        <f t="shared" si="30"/>
        <v>291.60000000000002</v>
      </c>
      <c r="N31" s="112">
        <f t="shared" si="31"/>
        <v>0.14599999999999999</v>
      </c>
      <c r="O31" s="17"/>
      <c r="P31" t="s">
        <v>128</v>
      </c>
      <c r="BH31" s="138" t="s">
        <v>162</v>
      </c>
      <c r="BI31" s="138" t="s">
        <v>138</v>
      </c>
      <c r="BJ31" s="116" t="s">
        <v>155</v>
      </c>
      <c r="BK31" s="116" t="s">
        <v>156</v>
      </c>
      <c r="BL31" s="116" t="s">
        <v>53</v>
      </c>
    </row>
    <row r="32" spans="1:64" x14ac:dyDescent="0.25">
      <c r="A32" s="69"/>
      <c r="B32" s="80" t="s">
        <v>132</v>
      </c>
      <c r="C32" s="81">
        <v>0.01</v>
      </c>
      <c r="D32" s="82" t="s">
        <v>6</v>
      </c>
      <c r="E32" s="35"/>
      <c r="F32" s="63">
        <f>$F$29</f>
        <v>25000</v>
      </c>
      <c r="G32" s="16">
        <f t="shared" si="27"/>
        <v>250</v>
      </c>
      <c r="H32" s="16">
        <f>IF(F32&gt;0.1,ROUND((C32*F32)/1000,3),"")</f>
        <v>0.25</v>
      </c>
      <c r="I32" s="25">
        <f t="shared" si="29"/>
        <v>100000</v>
      </c>
      <c r="J32" s="23" t="s">
        <v>39</v>
      </c>
      <c r="K32" s="66">
        <v>0.26</v>
      </c>
      <c r="L32" s="77">
        <f>IF(F32&gt;0.2,ROUND(F32*K32,3),"")</f>
        <v>6500</v>
      </c>
      <c r="M32" s="77">
        <f t="shared" si="30"/>
        <v>45</v>
      </c>
      <c r="N32" s="112">
        <f t="shared" si="31"/>
        <v>2E-3</v>
      </c>
      <c r="O32" s="16"/>
      <c r="BB32" s="59" t="s">
        <v>151</v>
      </c>
      <c r="BF32" s="12">
        <v>25000</v>
      </c>
      <c r="BG32" t="s">
        <v>55</v>
      </c>
      <c r="BH32" s="138" t="s">
        <v>36</v>
      </c>
      <c r="BI32" s="138" t="s">
        <v>139</v>
      </c>
      <c r="BJ32" s="116"/>
      <c r="BK32" s="116"/>
      <c r="BL32" s="116"/>
    </row>
    <row r="33" spans="1:64" ht="15" customHeight="1" thickBot="1" x14ac:dyDescent="0.3">
      <c r="A33" s="69" t="s">
        <v>113</v>
      </c>
      <c r="B33" s="83" t="s">
        <v>123</v>
      </c>
      <c r="C33" s="84">
        <v>3.3</v>
      </c>
      <c r="D33" s="85" t="s">
        <v>111</v>
      </c>
      <c r="E33" s="27"/>
      <c r="F33" s="63">
        <f t="shared" ref="F33:F37" si="35">$F$29</f>
        <v>25000</v>
      </c>
      <c r="G33" s="16">
        <f>IF(F33&gt;0.1,ROUND($C$26*F33/C33,3),"")</f>
        <v>4037.8789999999999</v>
      </c>
      <c r="H33" s="16">
        <f>IF(P33&gt;0.1,ROUND(($C$26*P33)/1000,3),"")</f>
        <v>4.0380000000000003</v>
      </c>
      <c r="I33" s="25">
        <f>1000/C33</f>
        <v>303.03030303030306</v>
      </c>
      <c r="J33" s="20"/>
      <c r="K33" s="68">
        <f>$K$29</f>
        <v>0.3</v>
      </c>
      <c r="L33" s="77">
        <f>IF(P33&gt;0.2,ROUND(P33*K33,3),"")</f>
        <v>2272.7399999999998</v>
      </c>
      <c r="M33" s="77">
        <f t="shared" si="30"/>
        <v>726.84</v>
      </c>
      <c r="N33" s="112">
        <f t="shared" si="31"/>
        <v>2.9000000000000001E-2</v>
      </c>
      <c r="O33" s="16"/>
      <c r="P33">
        <f>ROUND(F33/C33,1)</f>
        <v>7575.8</v>
      </c>
      <c r="BB33" s="139"/>
      <c r="BC33" s="133" t="s">
        <v>123</v>
      </c>
      <c r="BD33" s="133"/>
      <c r="BE33" s="133"/>
      <c r="BF33" s="84">
        <v>3.3</v>
      </c>
      <c r="BG33" s="85" t="s">
        <v>111</v>
      </c>
      <c r="BH33" s="28">
        <f>IF(BF32&gt;0.1,ROUND(((ROUND($BF$32/BF33,1))/1000)*$C$26,3),"")</f>
        <v>4.0380000000000003</v>
      </c>
      <c r="BI33" s="28">
        <f>IF(BF32&gt;0.2,ROUND(BH33*LEFT($M$3,3),3),"")</f>
        <v>726.84</v>
      </c>
      <c r="BJ33" s="116" t="str">
        <f>IF(BB33&gt;0,BH33,"")</f>
        <v/>
      </c>
      <c r="BK33" s="116" t="str">
        <f>IF(BB33&gt;0,BI33,"")</f>
        <v/>
      </c>
      <c r="BL33" s="116" t="str">
        <f>IF(BB33&gt;0,ROUND(($BF$32/BF33)*BD26,1),"")</f>
        <v/>
      </c>
    </row>
    <row r="34" spans="1:64" ht="15" customHeight="1" x14ac:dyDescent="0.25">
      <c r="A34" s="38"/>
      <c r="B34" s="80" t="s">
        <v>122</v>
      </c>
      <c r="C34" s="81">
        <v>4</v>
      </c>
      <c r="D34" s="82" t="s">
        <v>111</v>
      </c>
      <c r="E34" s="27"/>
      <c r="F34" s="63">
        <f t="shared" si="35"/>
        <v>25000</v>
      </c>
      <c r="G34" s="16">
        <f t="shared" ref="G34:G35" si="36">IF(F34&gt;0.1,ROUND($C$26*F34/C34,3),"")</f>
        <v>3331.25</v>
      </c>
      <c r="H34" s="16">
        <f t="shared" ref="H34:H35" si="37">IF(P34&gt;0.1,ROUND(($C$26*P34)/1000,3),"")</f>
        <v>3.331</v>
      </c>
      <c r="I34" s="25">
        <f>1000/C34</f>
        <v>250</v>
      </c>
      <c r="J34" s="23"/>
      <c r="K34" s="68">
        <f t="shared" ref="K34:K35" si="38">$K$29</f>
        <v>0.3</v>
      </c>
      <c r="L34" s="77">
        <f>IF(P34&gt;0.2,ROUND(P34*K34,3),"")</f>
        <v>1875</v>
      </c>
      <c r="M34" s="77">
        <f t="shared" si="30"/>
        <v>599.58000000000004</v>
      </c>
      <c r="N34" s="112">
        <f t="shared" si="31"/>
        <v>2.4E-2</v>
      </c>
      <c r="O34" s="16"/>
      <c r="P34">
        <f>ROUND(F34/C34,1)</f>
        <v>6250</v>
      </c>
      <c r="BB34" s="139"/>
      <c r="BC34" s="134" t="s">
        <v>122</v>
      </c>
      <c r="BD34" s="134"/>
      <c r="BE34" s="134"/>
      <c r="BF34" s="81">
        <v>4</v>
      </c>
      <c r="BG34" s="82" t="s">
        <v>111</v>
      </c>
      <c r="BH34" s="28">
        <f>IF(BF34&gt;0.1,ROUND(((ROUND($BF$32/BF34,1))/1000)*$C$26,3),"")</f>
        <v>3.331</v>
      </c>
      <c r="BI34" s="28">
        <f t="shared" ref="BI34:BI36" si="39">IF(BF33&gt;0.2,ROUND(BH34*LEFT($M$3,3),3),"")</f>
        <v>599.58000000000004</v>
      </c>
      <c r="BJ34" s="116" t="str">
        <f t="shared" ref="BJ34:BJ37" si="40">IF(BB34&gt;0,BH34,"")</f>
        <v/>
      </c>
      <c r="BK34" s="116" t="str">
        <f t="shared" ref="BK34:BK37" si="41">IF(BB34&gt;0,BI34,"")</f>
        <v/>
      </c>
      <c r="BL34" s="116" t="str">
        <f>IF(BB34&gt;0,ROUND(($BF$32/BF34)*BD26,1),"")</f>
        <v/>
      </c>
    </row>
    <row r="35" spans="1:64" ht="15" customHeight="1" thickBot="1" x14ac:dyDescent="0.3">
      <c r="A35" s="60"/>
      <c r="B35" s="83" t="s">
        <v>121</v>
      </c>
      <c r="C35" s="84">
        <v>4.3</v>
      </c>
      <c r="D35" s="85" t="s">
        <v>111</v>
      </c>
      <c r="E35" s="27"/>
      <c r="F35" s="63">
        <f t="shared" si="35"/>
        <v>25000</v>
      </c>
      <c r="G35" s="16">
        <f t="shared" si="36"/>
        <v>3098.837</v>
      </c>
      <c r="H35" s="16">
        <f t="shared" si="37"/>
        <v>3.0990000000000002</v>
      </c>
      <c r="I35" s="25">
        <f>1000/C35</f>
        <v>232.55813953488374</v>
      </c>
      <c r="J35" s="20"/>
      <c r="K35" s="68">
        <f t="shared" si="38"/>
        <v>0.3</v>
      </c>
      <c r="L35" s="77">
        <f>IF(P35&gt;0.2,ROUND(P35*K35,3),"")</f>
        <v>1744.2</v>
      </c>
      <c r="M35" s="77">
        <f t="shared" si="30"/>
        <v>557.82000000000005</v>
      </c>
      <c r="N35" s="112">
        <f t="shared" si="31"/>
        <v>2.1999999999999999E-2</v>
      </c>
      <c r="O35" s="16"/>
      <c r="P35">
        <f t="shared" ref="P35" si="42">ROUND(F35/C35,1)</f>
        <v>5814</v>
      </c>
      <c r="BB35" s="139"/>
      <c r="BC35" s="133" t="s">
        <v>121</v>
      </c>
      <c r="BD35" s="133"/>
      <c r="BE35" s="133"/>
      <c r="BF35" s="84">
        <v>4.3</v>
      </c>
      <c r="BG35" s="85" t="s">
        <v>111</v>
      </c>
      <c r="BH35" s="28">
        <f>IF(BF35&gt;0.1,ROUND(((ROUND($BF$32/BF35,1))/1000)*$C$26,3),"")</f>
        <v>3.0990000000000002</v>
      </c>
      <c r="BI35" s="28">
        <f t="shared" si="39"/>
        <v>557.82000000000005</v>
      </c>
      <c r="BJ35" s="116" t="str">
        <f t="shared" si="40"/>
        <v/>
      </c>
      <c r="BK35" s="116" t="str">
        <f t="shared" si="41"/>
        <v/>
      </c>
      <c r="BL35" s="116" t="str">
        <f>IF(BB35&gt;0,ROUND(($BF$32/BF35)*BD26,1),"")</f>
        <v/>
      </c>
    </row>
    <row r="36" spans="1:64" ht="15" customHeight="1" x14ac:dyDescent="0.25">
      <c r="B36" s="80" t="s">
        <v>124</v>
      </c>
      <c r="C36" s="81">
        <v>1.4</v>
      </c>
      <c r="D36" s="82" t="s">
        <v>111</v>
      </c>
      <c r="E36" s="62"/>
      <c r="F36" s="63">
        <f t="shared" si="35"/>
        <v>25000</v>
      </c>
      <c r="G36" s="16">
        <f>IF(F36&gt;0.1,ROUND($C$5*F36/C36,3),"")</f>
        <v>3250</v>
      </c>
      <c r="H36" s="16">
        <f>IF(P36&gt;0.1,ROUND(($C$5*P36)/1000,3),"")</f>
        <v>3.25</v>
      </c>
      <c r="I36" s="25">
        <f>1000/C36</f>
        <v>714.28571428571433</v>
      </c>
      <c r="J36" s="23"/>
      <c r="K36" s="68">
        <f>K5</f>
        <v>0.08</v>
      </c>
      <c r="L36" s="77">
        <f>IF(P36&gt;0.2,ROUND(P36*K36,3),"")</f>
        <v>1428.568</v>
      </c>
      <c r="M36" s="77">
        <f t="shared" si="30"/>
        <v>585</v>
      </c>
      <c r="N36" s="112">
        <f t="shared" si="31"/>
        <v>2.3E-2</v>
      </c>
      <c r="O36" s="16"/>
      <c r="P36">
        <f>ROUND(F36/C36,1)</f>
        <v>17857.099999999999</v>
      </c>
      <c r="BB36" s="139"/>
      <c r="BC36" s="135" t="s">
        <v>124</v>
      </c>
      <c r="BD36" s="135"/>
      <c r="BE36" s="135"/>
      <c r="BF36" s="81">
        <v>1.4</v>
      </c>
      <c r="BG36" s="82" t="s">
        <v>111</v>
      </c>
      <c r="BH36" s="28">
        <f>IF(BF36&gt;0.1,ROUND(((ROUND($BF$32/BF36,1))/1000)*$C$5,3),"")</f>
        <v>3.25</v>
      </c>
      <c r="BI36" s="28">
        <f t="shared" si="39"/>
        <v>585</v>
      </c>
      <c r="BJ36" s="116" t="str">
        <f t="shared" si="40"/>
        <v/>
      </c>
      <c r="BK36" s="116" t="str">
        <f t="shared" si="41"/>
        <v/>
      </c>
      <c r="BL36" s="116" t="str">
        <f>IF(BB36&gt;0,ROUND(($BF$32/BF36)*BD5,1),"")</f>
        <v/>
      </c>
    </row>
    <row r="37" spans="1:64" x14ac:dyDescent="0.25">
      <c r="A37" s="61"/>
      <c r="B37" s="51" t="s">
        <v>131</v>
      </c>
      <c r="C37" s="84">
        <v>1</v>
      </c>
      <c r="D37" s="86" t="s">
        <v>130</v>
      </c>
      <c r="F37" s="92">
        <f t="shared" si="35"/>
        <v>25000</v>
      </c>
      <c r="G37" s="17">
        <f>IF(F37&gt;0.1,ROUND(C37*F37,3),"")</f>
        <v>25000</v>
      </c>
      <c r="H37" s="17">
        <f>IF(F37&gt;0.1,ROUND((C37*F37)/1000,3),"")</f>
        <v>25</v>
      </c>
      <c r="I37" s="26">
        <f>1000/C37</f>
        <v>1000</v>
      </c>
      <c r="J37" s="93" t="s">
        <v>40</v>
      </c>
      <c r="K37" s="70">
        <v>8</v>
      </c>
      <c r="L37" s="17">
        <f>IF(H37&gt;0.2,ROUND(H37*K37,3),"")</f>
        <v>200</v>
      </c>
      <c r="M37" s="17">
        <f t="shared" si="30"/>
        <v>4500</v>
      </c>
      <c r="N37" s="113">
        <f t="shared" si="31"/>
        <v>0.18</v>
      </c>
      <c r="P37" t="s">
        <v>129</v>
      </c>
      <c r="BB37" s="139" t="s">
        <v>152</v>
      </c>
      <c r="BC37" s="51" t="s">
        <v>131</v>
      </c>
      <c r="BF37" s="84">
        <v>1</v>
      </c>
      <c r="BG37" s="86" t="s">
        <v>130</v>
      </c>
      <c r="BH37" s="28">
        <f>IF(BF37&gt;0.1,ROUND(((ROUND($BF$32/1,1))/1000),3),"")</f>
        <v>25</v>
      </c>
      <c r="BI37" s="28"/>
      <c r="BJ37" s="116">
        <f t="shared" si="40"/>
        <v>25</v>
      </c>
      <c r="BK37" s="116">
        <f t="shared" si="41"/>
        <v>0</v>
      </c>
      <c r="BL37" s="116">
        <f>IF(BB37&gt;0,ROUND($BH$37*K37,1),"")</f>
        <v>200</v>
      </c>
    </row>
    <row r="38" spans="1:64" x14ac:dyDescent="0.25">
      <c r="BJ38" s="116">
        <f>SUM(BJ33:BJ37)</f>
        <v>25</v>
      </c>
      <c r="BK38" s="116">
        <f>SUM(BK33:BK37)</f>
        <v>0</v>
      </c>
      <c r="BL38" s="116">
        <f>SUM(BL33:BL37)</f>
        <v>200</v>
      </c>
    </row>
    <row r="39" spans="1:64" ht="15.75" thickBot="1" x14ac:dyDescent="0.3">
      <c r="D39" s="6" t="s">
        <v>11</v>
      </c>
      <c r="E39" s="10"/>
    </row>
    <row r="40" spans="1:64" ht="15.75" thickBot="1" x14ac:dyDescent="0.3">
      <c r="A40" s="29" t="s">
        <v>136</v>
      </c>
      <c r="D40" s="8" t="s">
        <v>8</v>
      </c>
      <c r="E40" s="11"/>
      <c r="G40" s="17" t="str">
        <f>CONCATENATE("Beispiel: ",A26," ",D26," ",C26," * Verbrauch ",J26)</f>
        <v xml:space="preserve">Beispiel: Strom  kg/kWh  0,533 * Verbrauch kWh </v>
      </c>
    </row>
    <row r="41" spans="1:64" x14ac:dyDescent="0.25">
      <c r="A41" s="30" t="s">
        <v>43</v>
      </c>
      <c r="D41" s="9" t="s">
        <v>6</v>
      </c>
      <c r="E41" s="13"/>
    </row>
    <row r="42" spans="1:64" ht="15.75" x14ac:dyDescent="0.25">
      <c r="A42" s="31" t="s">
        <v>44</v>
      </c>
    </row>
    <row r="43" spans="1:64" x14ac:dyDescent="0.25">
      <c r="A43" s="31" t="s">
        <v>45</v>
      </c>
    </row>
    <row r="44" spans="1:64" ht="15.75" x14ac:dyDescent="0.25">
      <c r="A44" s="30" t="s">
        <v>46</v>
      </c>
    </row>
    <row r="45" spans="1:64" x14ac:dyDescent="0.25">
      <c r="A45" s="32" t="s">
        <v>47</v>
      </c>
    </row>
    <row r="46" spans="1:64" ht="33.75" customHeight="1" x14ac:dyDescent="0.25">
      <c r="A46" s="156" t="s">
        <v>48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M46" s="109"/>
    </row>
    <row r="47" spans="1:64" x14ac:dyDescent="0.25">
      <c r="A47" s="32" t="s">
        <v>49</v>
      </c>
    </row>
    <row r="48" spans="1:64" x14ac:dyDescent="0.25">
      <c r="A48" s="143" t="s">
        <v>137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M48" s="108"/>
    </row>
    <row r="49" spans="1:14" x14ac:dyDescent="0.25">
      <c r="A49" s="46"/>
      <c r="B49" s="46"/>
      <c r="C49" s="46"/>
      <c r="D49" s="46"/>
      <c r="E49" s="46"/>
      <c r="F49" s="46"/>
      <c r="G49" s="46"/>
      <c r="H49" s="46"/>
      <c r="I49" s="46"/>
      <c r="J49" t="s">
        <v>57</v>
      </c>
      <c r="K49" s="46"/>
      <c r="M49" s="46"/>
    </row>
    <row r="50" spans="1:14" x14ac:dyDescent="0.25">
      <c r="B50" s="117"/>
      <c r="C50" s="33"/>
      <c r="D50" s="118" t="s">
        <v>147</v>
      </c>
      <c r="E50" s="33"/>
      <c r="F50" s="33" t="s">
        <v>110</v>
      </c>
      <c r="G50" s="33"/>
      <c r="H50" s="33"/>
      <c r="I50" s="33"/>
      <c r="J50" s="33"/>
      <c r="K50" s="33"/>
      <c r="L50" s="33"/>
      <c r="M50" s="33"/>
      <c r="N50" s="119"/>
    </row>
    <row r="51" spans="1:14" x14ac:dyDescent="0.25">
      <c r="B51" s="120"/>
      <c r="C51" s="28"/>
      <c r="D51" s="121" t="s">
        <v>146</v>
      </c>
      <c r="E51" s="28"/>
      <c r="F51" s="122">
        <v>3000</v>
      </c>
      <c r="G51" s="121" t="s">
        <v>56</v>
      </c>
      <c r="H51" s="123">
        <f>F51*8.816</f>
        <v>26448.000000000004</v>
      </c>
      <c r="I51" s="28" t="s">
        <v>55</v>
      </c>
      <c r="J51" s="124" t="str">
        <f>CONCATENATE(" m³ Erdgas * 8,816")</f>
        <v xml:space="preserve"> m³ Erdgas * 8,816</v>
      </c>
      <c r="K51" s="28"/>
      <c r="L51" s="28"/>
      <c r="M51" s="28"/>
      <c r="N51" s="125"/>
    </row>
    <row r="52" spans="1:14" x14ac:dyDescent="0.25">
      <c r="B52" s="120"/>
      <c r="C52" s="28"/>
      <c r="D52" s="121" t="s">
        <v>145</v>
      </c>
      <c r="E52" s="28"/>
      <c r="F52" s="122">
        <v>3000</v>
      </c>
      <c r="G52" s="121" t="s">
        <v>112</v>
      </c>
      <c r="H52" s="123">
        <f>F52*11.4</f>
        <v>34200</v>
      </c>
      <c r="I52" s="28" t="s">
        <v>55</v>
      </c>
      <c r="J52" s="124" t="str">
        <f>CONCATENATE(" kg Öl * 11,4")</f>
        <v xml:space="preserve"> kg Öl * 11,4</v>
      </c>
      <c r="K52" s="28"/>
      <c r="L52" s="28"/>
      <c r="M52" s="28"/>
      <c r="N52" s="125"/>
    </row>
    <row r="53" spans="1:14" x14ac:dyDescent="0.25">
      <c r="B53" s="120"/>
      <c r="C53" s="28"/>
      <c r="D53" s="121" t="s">
        <v>144</v>
      </c>
      <c r="E53" s="28"/>
      <c r="F53" s="122">
        <v>3000</v>
      </c>
      <c r="G53" s="121" t="s">
        <v>135</v>
      </c>
      <c r="H53" s="123">
        <f>F53*4</f>
        <v>12000</v>
      </c>
      <c r="I53" s="28" t="s">
        <v>55</v>
      </c>
      <c r="J53" s="124" t="str">
        <f>CONCATENATE(" kg * 4")</f>
        <v xml:space="preserve"> kg * 4</v>
      </c>
      <c r="K53" s="28"/>
      <c r="L53" s="28"/>
      <c r="M53" s="28"/>
      <c r="N53" s="125"/>
    </row>
    <row r="54" spans="1:14" x14ac:dyDescent="0.25">
      <c r="B54" s="120"/>
      <c r="C54" s="28"/>
      <c r="D54" s="28"/>
      <c r="E54" s="28"/>
      <c r="F54" s="28"/>
      <c r="G54" s="121"/>
      <c r="H54" s="123"/>
      <c r="I54" s="28"/>
      <c r="J54" s="124"/>
      <c r="K54" s="28"/>
      <c r="L54" s="28"/>
      <c r="M54" s="28"/>
      <c r="N54" s="125"/>
    </row>
    <row r="55" spans="1:14" x14ac:dyDescent="0.25">
      <c r="B55" s="11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119"/>
    </row>
    <row r="56" spans="1:14" x14ac:dyDescent="0.25">
      <c r="B56" s="120"/>
      <c r="C56" s="28"/>
      <c r="D56" s="121" t="s">
        <v>148</v>
      </c>
      <c r="E56" s="28"/>
      <c r="F56" s="122">
        <v>50</v>
      </c>
      <c r="G56" s="124" t="s">
        <v>119</v>
      </c>
      <c r="H56" s="122">
        <v>1</v>
      </c>
      <c r="I56" s="28" t="s">
        <v>115</v>
      </c>
      <c r="J56" s="124"/>
      <c r="K56" s="122">
        <v>5</v>
      </c>
      <c r="L56" s="28" t="str">
        <f>CONCATENATE("L im Schnitt auf 100km")</f>
        <v>L im Schnitt auf 100km</v>
      </c>
      <c r="M56" s="28"/>
      <c r="N56" s="125"/>
    </row>
    <row r="57" spans="1:14" x14ac:dyDescent="0.25">
      <c r="B57" s="120"/>
      <c r="C57" s="126">
        <f>(((F56*H56)/K56)*100)/(4*5)</f>
        <v>50</v>
      </c>
      <c r="D57" s="126" t="s">
        <v>150</v>
      </c>
      <c r="E57" s="127"/>
      <c r="F57" s="127"/>
      <c r="G57" s="126">
        <f>((K57/K56)*100)/12</f>
        <v>1000</v>
      </c>
      <c r="H57" s="126" t="s">
        <v>118</v>
      </c>
      <c r="I57" s="126">
        <f>(K57/K56)*100</f>
        <v>12000</v>
      </c>
      <c r="J57" s="126" t="s">
        <v>117</v>
      </c>
      <c r="K57" s="126">
        <f>F56*H56*12</f>
        <v>600</v>
      </c>
      <c r="L57" s="126" t="s">
        <v>116</v>
      </c>
      <c r="M57" s="126"/>
      <c r="N57" s="128"/>
    </row>
    <row r="58" spans="1:14" x14ac:dyDescent="0.25">
      <c r="B58" s="129"/>
      <c r="C58" s="130"/>
      <c r="D58" s="130" t="s">
        <v>149</v>
      </c>
      <c r="E58" s="131"/>
      <c r="F58" s="131"/>
      <c r="G58" s="130"/>
      <c r="H58" s="130"/>
      <c r="I58" s="130"/>
      <c r="J58" s="130"/>
      <c r="K58" s="130"/>
      <c r="L58" s="130"/>
      <c r="M58" s="130"/>
      <c r="N58" s="132"/>
    </row>
    <row r="59" spans="1:14" x14ac:dyDescent="0.25">
      <c r="D59" s="45"/>
      <c r="E59" s="45"/>
      <c r="F59" s="45"/>
      <c r="G59" s="45"/>
      <c r="H59" s="45"/>
    </row>
    <row r="60" spans="1:14" x14ac:dyDescent="0.25">
      <c r="B60" s="48" t="s">
        <v>61</v>
      </c>
      <c r="C60" s="48" t="s">
        <v>62</v>
      </c>
      <c r="D60" s="48" t="s">
        <v>63</v>
      </c>
      <c r="E60" s="51"/>
      <c r="F60" s="51"/>
      <c r="G60" s="51"/>
    </row>
    <row r="61" spans="1:14" ht="15.75" thickBot="1" x14ac:dyDescent="0.3">
      <c r="B61" s="52" t="s">
        <v>64</v>
      </c>
      <c r="C61" s="53" t="s">
        <v>65</v>
      </c>
      <c r="D61" s="54" t="s">
        <v>66</v>
      </c>
      <c r="E61" s="51"/>
      <c r="F61" s="51"/>
      <c r="G61" s="51"/>
    </row>
    <row r="62" spans="1:14" ht="16.5" thickTop="1" thickBot="1" x14ac:dyDescent="0.3">
      <c r="B62" s="52" t="s">
        <v>67</v>
      </c>
      <c r="C62" s="53" t="s">
        <v>68</v>
      </c>
      <c r="D62" s="54" t="s">
        <v>69</v>
      </c>
      <c r="E62" s="51"/>
      <c r="F62" s="51"/>
      <c r="G62" s="51"/>
    </row>
    <row r="63" spans="1:14" ht="16.5" thickTop="1" thickBot="1" x14ac:dyDescent="0.3">
      <c r="B63" s="52" t="s">
        <v>70</v>
      </c>
      <c r="C63" s="53" t="s">
        <v>71</v>
      </c>
      <c r="D63" s="54" t="s">
        <v>72</v>
      </c>
      <c r="E63" s="51"/>
      <c r="F63" s="51"/>
      <c r="G63" s="51"/>
    </row>
    <row r="64" spans="1:14" ht="15.75" thickTop="1" x14ac:dyDescent="0.25">
      <c r="B64" s="48" t="s">
        <v>73</v>
      </c>
      <c r="C64" s="58" t="s">
        <v>74</v>
      </c>
      <c r="D64" s="58" t="s">
        <v>74</v>
      </c>
      <c r="E64" s="45"/>
      <c r="F64" s="58" t="s">
        <v>74</v>
      </c>
      <c r="G64" s="58" t="s">
        <v>75</v>
      </c>
      <c r="H64" t="str">
        <f>CONCATENATE(C64," ",C65," ",C66)</f>
        <v>elektrisch Außenluft Luft / Wasser</v>
      </c>
      <c r="I64" t="str">
        <f>CONCATENATE(D64," ",D65," ",D66)</f>
        <v>elektrisch Erdreich Sole / Wasser</v>
      </c>
      <c r="J64" t="str">
        <f>CONCATENATE(F64," ",F65," ",F66)</f>
        <v>elektrisch Grundwasser Wasser / Wasser</v>
      </c>
      <c r="K64" t="str">
        <f>CONCATENATE(G64," ",G65," ",G66)</f>
        <v>Gas Außenluft Luft / Wasser</v>
      </c>
    </row>
    <row r="65" spans="2:7" x14ac:dyDescent="0.25">
      <c r="B65" s="48" t="s">
        <v>76</v>
      </c>
      <c r="C65" s="58" t="s">
        <v>77</v>
      </c>
      <c r="D65" s="58" t="s">
        <v>78</v>
      </c>
      <c r="E65" s="45"/>
      <c r="F65" s="58" t="s">
        <v>79</v>
      </c>
      <c r="G65" s="58" t="s">
        <v>77</v>
      </c>
    </row>
    <row r="66" spans="2:7" x14ac:dyDescent="0.25">
      <c r="B66" s="48" t="s">
        <v>80</v>
      </c>
      <c r="C66" s="58" t="s">
        <v>81</v>
      </c>
      <c r="D66" s="58" t="s">
        <v>82</v>
      </c>
      <c r="E66" s="45"/>
      <c r="F66" s="58" t="s">
        <v>83</v>
      </c>
      <c r="G66" s="58" t="s">
        <v>81</v>
      </c>
    </row>
    <row r="67" spans="2:7" x14ac:dyDescent="0.25">
      <c r="B67" s="144" t="s">
        <v>84</v>
      </c>
      <c r="C67" s="55" t="s">
        <v>85</v>
      </c>
      <c r="D67" s="55" t="s">
        <v>87</v>
      </c>
      <c r="E67" s="45"/>
      <c r="F67" s="55" t="s">
        <v>89</v>
      </c>
      <c r="G67" s="55" t="s">
        <v>91</v>
      </c>
    </row>
    <row r="68" spans="2:7" ht="15.75" thickBot="1" x14ac:dyDescent="0.3">
      <c r="B68" s="145"/>
      <c r="C68" s="53" t="s">
        <v>86</v>
      </c>
      <c r="D68" s="53" t="s">
        <v>88</v>
      </c>
      <c r="E68" s="45"/>
      <c r="F68" s="53" t="s">
        <v>90</v>
      </c>
      <c r="G68" s="53" t="s">
        <v>86</v>
      </c>
    </row>
    <row r="69" spans="2:7" ht="16.5" thickTop="1" thickBot="1" x14ac:dyDescent="0.3">
      <c r="B69" s="56" t="s">
        <v>92</v>
      </c>
      <c r="C69" s="53" t="s">
        <v>93</v>
      </c>
      <c r="D69" s="53" t="s">
        <v>94</v>
      </c>
      <c r="E69" s="45"/>
      <c r="F69" s="53" t="s">
        <v>95</v>
      </c>
      <c r="G69" s="53">
        <v>1.4</v>
      </c>
    </row>
    <row r="70" spans="2:7" ht="35.25" thickTop="1" thickBot="1" x14ac:dyDescent="0.3">
      <c r="B70" s="52" t="s">
        <v>96</v>
      </c>
      <c r="C70" s="53"/>
      <c r="D70" s="49" t="s">
        <v>97</v>
      </c>
      <c r="E70" s="45"/>
      <c r="F70" s="49" t="s">
        <v>97</v>
      </c>
      <c r="G70" s="49" t="s">
        <v>98</v>
      </c>
    </row>
    <row r="71" spans="2:7" ht="16.5" thickTop="1" thickBot="1" x14ac:dyDescent="0.3">
      <c r="B71" s="52" t="s">
        <v>99</v>
      </c>
      <c r="C71" s="53">
        <v>4.5</v>
      </c>
      <c r="D71" s="53">
        <v>4.5</v>
      </c>
      <c r="E71" s="45"/>
      <c r="F71" s="53">
        <v>4.5</v>
      </c>
      <c r="G71" s="53">
        <v>1.5</v>
      </c>
    </row>
    <row r="72" spans="2:7" ht="16.5" thickTop="1" thickBot="1" x14ac:dyDescent="0.3">
      <c r="B72" s="52" t="s">
        <v>100</v>
      </c>
      <c r="C72" s="53" t="s">
        <v>101</v>
      </c>
      <c r="D72" s="53" t="s">
        <v>102</v>
      </c>
      <c r="E72" s="45"/>
      <c r="F72" s="53" t="s">
        <v>102</v>
      </c>
      <c r="G72" s="53">
        <v>1.2</v>
      </c>
    </row>
    <row r="73" spans="2:7" ht="15.75" thickTop="1" x14ac:dyDescent="0.25">
      <c r="B73" s="57" t="s">
        <v>103</v>
      </c>
      <c r="C73" s="55">
        <v>3.5</v>
      </c>
      <c r="D73" s="55">
        <v>3.5</v>
      </c>
      <c r="E73" s="45"/>
      <c r="F73" s="55">
        <v>3.5</v>
      </c>
      <c r="G73" s="55">
        <v>1.2</v>
      </c>
    </row>
    <row r="74" spans="2:7" ht="22.5" x14ac:dyDescent="0.25">
      <c r="B74" s="50" t="s">
        <v>104</v>
      </c>
    </row>
    <row r="75" spans="2:7" x14ac:dyDescent="0.25">
      <c r="B75" s="50" t="s">
        <v>105</v>
      </c>
    </row>
    <row r="76" spans="2:7" ht="22.5" x14ac:dyDescent="0.25">
      <c r="B76" s="50" t="s">
        <v>106</v>
      </c>
    </row>
    <row r="77" spans="2:7" x14ac:dyDescent="0.25">
      <c r="B77" s="50" t="s">
        <v>107</v>
      </c>
    </row>
    <row r="78" spans="2:7" x14ac:dyDescent="0.25">
      <c r="B78" s="50" t="s">
        <v>108</v>
      </c>
    </row>
    <row r="79" spans="2:7" x14ac:dyDescent="0.25">
      <c r="B79" s="50" t="s">
        <v>109</v>
      </c>
    </row>
    <row r="81" spans="2:2" x14ac:dyDescent="0.25">
      <c r="B81" s="90"/>
    </row>
  </sheetData>
  <mergeCells count="15">
    <mergeCell ref="V1:AA1"/>
    <mergeCell ref="AD1:AI1"/>
    <mergeCell ref="AL1:AQ1"/>
    <mergeCell ref="AT1:AY1"/>
    <mergeCell ref="BB1:BH1"/>
    <mergeCell ref="C2:C3"/>
    <mergeCell ref="A1:J1"/>
    <mergeCell ref="A48:K48"/>
    <mergeCell ref="B67:B68"/>
    <mergeCell ref="J2:J3"/>
    <mergeCell ref="A2:A3"/>
    <mergeCell ref="B2:B3"/>
    <mergeCell ref="D2:D3"/>
    <mergeCell ref="A4:A19"/>
    <mergeCell ref="A46:K46"/>
  </mergeCells>
  <conditionalFormatting sqref="L4:L26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26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:L26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:H37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9:L3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26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26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:N26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:N26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9:M37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9:N37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:Y26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W26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:Y2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Z2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Z2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:AA26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:AA26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:AG2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:AG26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:AH2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:AH26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4:AI26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4:AI26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4:AE26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:AO2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:AO2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:AP2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:AP2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:AQ2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:AQ2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:AM26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:AW2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:AW26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:AX2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:AX2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:AY2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:AY2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:AU2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G4:BG2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G4:BG2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H4:BH2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H4:BH2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I4:BI2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I4:BI2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4:BC2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4:BF2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4:BF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8"/>
  <sheetViews>
    <sheetView workbookViewId="0">
      <selection activeCell="E14" sqref="E14"/>
    </sheetView>
  </sheetViews>
  <sheetFormatPr baseColWidth="10" defaultColWidth="11.5703125" defaultRowHeight="12.75" x14ac:dyDescent="0.2"/>
  <cols>
    <col min="1" max="1" width="11.5703125" style="159"/>
    <col min="2" max="2" width="19.7109375" style="159" customWidth="1"/>
    <col min="3" max="3" width="12.28515625" style="159" customWidth="1"/>
    <col min="4" max="4" width="11.5703125" style="159"/>
    <col min="5" max="5" width="12.42578125" style="159" customWidth="1"/>
    <col min="6" max="6" width="11.5703125" style="159"/>
    <col min="7" max="7" width="11.7109375" style="159" customWidth="1"/>
    <col min="8" max="257" width="11.5703125" style="159"/>
    <col min="258" max="258" width="19.7109375" style="159" customWidth="1"/>
    <col min="259" max="259" width="12.28515625" style="159" customWidth="1"/>
    <col min="260" max="260" width="11.5703125" style="159"/>
    <col min="261" max="261" width="12.42578125" style="159" customWidth="1"/>
    <col min="262" max="262" width="11.5703125" style="159"/>
    <col min="263" max="263" width="11.7109375" style="159" customWidth="1"/>
    <col min="264" max="513" width="11.5703125" style="159"/>
    <col min="514" max="514" width="19.7109375" style="159" customWidth="1"/>
    <col min="515" max="515" width="12.28515625" style="159" customWidth="1"/>
    <col min="516" max="516" width="11.5703125" style="159"/>
    <col min="517" max="517" width="12.42578125" style="159" customWidth="1"/>
    <col min="518" max="518" width="11.5703125" style="159"/>
    <col min="519" max="519" width="11.7109375" style="159" customWidth="1"/>
    <col min="520" max="769" width="11.5703125" style="159"/>
    <col min="770" max="770" width="19.7109375" style="159" customWidth="1"/>
    <col min="771" max="771" width="12.28515625" style="159" customWidth="1"/>
    <col min="772" max="772" width="11.5703125" style="159"/>
    <col min="773" max="773" width="12.42578125" style="159" customWidth="1"/>
    <col min="774" max="774" width="11.5703125" style="159"/>
    <col min="775" max="775" width="11.7109375" style="159" customWidth="1"/>
    <col min="776" max="1025" width="11.5703125" style="159"/>
    <col min="1026" max="1026" width="19.7109375" style="159" customWidth="1"/>
    <col min="1027" max="1027" width="12.28515625" style="159" customWidth="1"/>
    <col min="1028" max="1028" width="11.5703125" style="159"/>
    <col min="1029" max="1029" width="12.42578125" style="159" customWidth="1"/>
    <col min="1030" max="1030" width="11.5703125" style="159"/>
    <col min="1031" max="1031" width="11.7109375" style="159" customWidth="1"/>
    <col min="1032" max="1281" width="11.5703125" style="159"/>
    <col min="1282" max="1282" width="19.7109375" style="159" customWidth="1"/>
    <col min="1283" max="1283" width="12.28515625" style="159" customWidth="1"/>
    <col min="1284" max="1284" width="11.5703125" style="159"/>
    <col min="1285" max="1285" width="12.42578125" style="159" customWidth="1"/>
    <col min="1286" max="1286" width="11.5703125" style="159"/>
    <col min="1287" max="1287" width="11.7109375" style="159" customWidth="1"/>
    <col min="1288" max="1537" width="11.5703125" style="159"/>
    <col min="1538" max="1538" width="19.7109375" style="159" customWidth="1"/>
    <col min="1539" max="1539" width="12.28515625" style="159" customWidth="1"/>
    <col min="1540" max="1540" width="11.5703125" style="159"/>
    <col min="1541" max="1541" width="12.42578125" style="159" customWidth="1"/>
    <col min="1542" max="1542" width="11.5703125" style="159"/>
    <col min="1543" max="1543" width="11.7109375" style="159" customWidth="1"/>
    <col min="1544" max="1793" width="11.5703125" style="159"/>
    <col min="1794" max="1794" width="19.7109375" style="159" customWidth="1"/>
    <col min="1795" max="1795" width="12.28515625" style="159" customWidth="1"/>
    <col min="1796" max="1796" width="11.5703125" style="159"/>
    <col min="1797" max="1797" width="12.42578125" style="159" customWidth="1"/>
    <col min="1798" max="1798" width="11.5703125" style="159"/>
    <col min="1799" max="1799" width="11.7109375" style="159" customWidth="1"/>
    <col min="1800" max="2049" width="11.5703125" style="159"/>
    <col min="2050" max="2050" width="19.7109375" style="159" customWidth="1"/>
    <col min="2051" max="2051" width="12.28515625" style="159" customWidth="1"/>
    <col min="2052" max="2052" width="11.5703125" style="159"/>
    <col min="2053" max="2053" width="12.42578125" style="159" customWidth="1"/>
    <col min="2054" max="2054" width="11.5703125" style="159"/>
    <col min="2055" max="2055" width="11.7109375" style="159" customWidth="1"/>
    <col min="2056" max="2305" width="11.5703125" style="159"/>
    <col min="2306" max="2306" width="19.7109375" style="159" customWidth="1"/>
    <col min="2307" max="2307" width="12.28515625" style="159" customWidth="1"/>
    <col min="2308" max="2308" width="11.5703125" style="159"/>
    <col min="2309" max="2309" width="12.42578125" style="159" customWidth="1"/>
    <col min="2310" max="2310" width="11.5703125" style="159"/>
    <col min="2311" max="2311" width="11.7109375" style="159" customWidth="1"/>
    <col min="2312" max="2561" width="11.5703125" style="159"/>
    <col min="2562" max="2562" width="19.7109375" style="159" customWidth="1"/>
    <col min="2563" max="2563" width="12.28515625" style="159" customWidth="1"/>
    <col min="2564" max="2564" width="11.5703125" style="159"/>
    <col min="2565" max="2565" width="12.42578125" style="159" customWidth="1"/>
    <col min="2566" max="2566" width="11.5703125" style="159"/>
    <col min="2567" max="2567" width="11.7109375" style="159" customWidth="1"/>
    <col min="2568" max="2817" width="11.5703125" style="159"/>
    <col min="2818" max="2818" width="19.7109375" style="159" customWidth="1"/>
    <col min="2819" max="2819" width="12.28515625" style="159" customWidth="1"/>
    <col min="2820" max="2820" width="11.5703125" style="159"/>
    <col min="2821" max="2821" width="12.42578125" style="159" customWidth="1"/>
    <col min="2822" max="2822" width="11.5703125" style="159"/>
    <col min="2823" max="2823" width="11.7109375" style="159" customWidth="1"/>
    <col min="2824" max="3073" width="11.5703125" style="159"/>
    <col min="3074" max="3074" width="19.7109375" style="159" customWidth="1"/>
    <col min="3075" max="3075" width="12.28515625" style="159" customWidth="1"/>
    <col min="3076" max="3076" width="11.5703125" style="159"/>
    <col min="3077" max="3077" width="12.42578125" style="159" customWidth="1"/>
    <col min="3078" max="3078" width="11.5703125" style="159"/>
    <col min="3079" max="3079" width="11.7109375" style="159" customWidth="1"/>
    <col min="3080" max="3329" width="11.5703125" style="159"/>
    <col min="3330" max="3330" width="19.7109375" style="159" customWidth="1"/>
    <col min="3331" max="3331" width="12.28515625" style="159" customWidth="1"/>
    <col min="3332" max="3332" width="11.5703125" style="159"/>
    <col min="3333" max="3333" width="12.42578125" style="159" customWidth="1"/>
    <col min="3334" max="3334" width="11.5703125" style="159"/>
    <col min="3335" max="3335" width="11.7109375" style="159" customWidth="1"/>
    <col min="3336" max="3585" width="11.5703125" style="159"/>
    <col min="3586" max="3586" width="19.7109375" style="159" customWidth="1"/>
    <col min="3587" max="3587" width="12.28515625" style="159" customWidth="1"/>
    <col min="3588" max="3588" width="11.5703125" style="159"/>
    <col min="3589" max="3589" width="12.42578125" style="159" customWidth="1"/>
    <col min="3590" max="3590" width="11.5703125" style="159"/>
    <col min="3591" max="3591" width="11.7109375" style="159" customWidth="1"/>
    <col min="3592" max="3841" width="11.5703125" style="159"/>
    <col min="3842" max="3842" width="19.7109375" style="159" customWidth="1"/>
    <col min="3843" max="3843" width="12.28515625" style="159" customWidth="1"/>
    <col min="3844" max="3844" width="11.5703125" style="159"/>
    <col min="3845" max="3845" width="12.42578125" style="159" customWidth="1"/>
    <col min="3846" max="3846" width="11.5703125" style="159"/>
    <col min="3847" max="3847" width="11.7109375" style="159" customWidth="1"/>
    <col min="3848" max="4097" width="11.5703125" style="159"/>
    <col min="4098" max="4098" width="19.7109375" style="159" customWidth="1"/>
    <col min="4099" max="4099" width="12.28515625" style="159" customWidth="1"/>
    <col min="4100" max="4100" width="11.5703125" style="159"/>
    <col min="4101" max="4101" width="12.42578125" style="159" customWidth="1"/>
    <col min="4102" max="4102" width="11.5703125" style="159"/>
    <col min="4103" max="4103" width="11.7109375" style="159" customWidth="1"/>
    <col min="4104" max="4353" width="11.5703125" style="159"/>
    <col min="4354" max="4354" width="19.7109375" style="159" customWidth="1"/>
    <col min="4355" max="4355" width="12.28515625" style="159" customWidth="1"/>
    <col min="4356" max="4356" width="11.5703125" style="159"/>
    <col min="4357" max="4357" width="12.42578125" style="159" customWidth="1"/>
    <col min="4358" max="4358" width="11.5703125" style="159"/>
    <col min="4359" max="4359" width="11.7109375" style="159" customWidth="1"/>
    <col min="4360" max="4609" width="11.5703125" style="159"/>
    <col min="4610" max="4610" width="19.7109375" style="159" customWidth="1"/>
    <col min="4611" max="4611" width="12.28515625" style="159" customWidth="1"/>
    <col min="4612" max="4612" width="11.5703125" style="159"/>
    <col min="4613" max="4613" width="12.42578125" style="159" customWidth="1"/>
    <col min="4614" max="4614" width="11.5703125" style="159"/>
    <col min="4615" max="4615" width="11.7109375" style="159" customWidth="1"/>
    <col min="4616" max="4865" width="11.5703125" style="159"/>
    <col min="4866" max="4866" width="19.7109375" style="159" customWidth="1"/>
    <col min="4867" max="4867" width="12.28515625" style="159" customWidth="1"/>
    <col min="4868" max="4868" width="11.5703125" style="159"/>
    <col min="4869" max="4869" width="12.42578125" style="159" customWidth="1"/>
    <col min="4870" max="4870" width="11.5703125" style="159"/>
    <col min="4871" max="4871" width="11.7109375" style="159" customWidth="1"/>
    <col min="4872" max="5121" width="11.5703125" style="159"/>
    <col min="5122" max="5122" width="19.7109375" style="159" customWidth="1"/>
    <col min="5123" max="5123" width="12.28515625" style="159" customWidth="1"/>
    <col min="5124" max="5124" width="11.5703125" style="159"/>
    <col min="5125" max="5125" width="12.42578125" style="159" customWidth="1"/>
    <col min="5126" max="5126" width="11.5703125" style="159"/>
    <col min="5127" max="5127" width="11.7109375" style="159" customWidth="1"/>
    <col min="5128" max="5377" width="11.5703125" style="159"/>
    <col min="5378" max="5378" width="19.7109375" style="159" customWidth="1"/>
    <col min="5379" max="5379" width="12.28515625" style="159" customWidth="1"/>
    <col min="5380" max="5380" width="11.5703125" style="159"/>
    <col min="5381" max="5381" width="12.42578125" style="159" customWidth="1"/>
    <col min="5382" max="5382" width="11.5703125" style="159"/>
    <col min="5383" max="5383" width="11.7109375" style="159" customWidth="1"/>
    <col min="5384" max="5633" width="11.5703125" style="159"/>
    <col min="5634" max="5634" width="19.7109375" style="159" customWidth="1"/>
    <col min="5635" max="5635" width="12.28515625" style="159" customWidth="1"/>
    <col min="5636" max="5636" width="11.5703125" style="159"/>
    <col min="5637" max="5637" width="12.42578125" style="159" customWidth="1"/>
    <col min="5638" max="5638" width="11.5703125" style="159"/>
    <col min="5639" max="5639" width="11.7109375" style="159" customWidth="1"/>
    <col min="5640" max="5889" width="11.5703125" style="159"/>
    <col min="5890" max="5890" width="19.7109375" style="159" customWidth="1"/>
    <col min="5891" max="5891" width="12.28515625" style="159" customWidth="1"/>
    <col min="5892" max="5892" width="11.5703125" style="159"/>
    <col min="5893" max="5893" width="12.42578125" style="159" customWidth="1"/>
    <col min="5894" max="5894" width="11.5703125" style="159"/>
    <col min="5895" max="5895" width="11.7109375" style="159" customWidth="1"/>
    <col min="5896" max="6145" width="11.5703125" style="159"/>
    <col min="6146" max="6146" width="19.7109375" style="159" customWidth="1"/>
    <col min="6147" max="6147" width="12.28515625" style="159" customWidth="1"/>
    <col min="6148" max="6148" width="11.5703125" style="159"/>
    <col min="6149" max="6149" width="12.42578125" style="159" customWidth="1"/>
    <col min="6150" max="6150" width="11.5703125" style="159"/>
    <col min="6151" max="6151" width="11.7109375" style="159" customWidth="1"/>
    <col min="6152" max="6401" width="11.5703125" style="159"/>
    <col min="6402" max="6402" width="19.7109375" style="159" customWidth="1"/>
    <col min="6403" max="6403" width="12.28515625" style="159" customWidth="1"/>
    <col min="6404" max="6404" width="11.5703125" style="159"/>
    <col min="6405" max="6405" width="12.42578125" style="159" customWidth="1"/>
    <col min="6406" max="6406" width="11.5703125" style="159"/>
    <col min="6407" max="6407" width="11.7109375" style="159" customWidth="1"/>
    <col min="6408" max="6657" width="11.5703125" style="159"/>
    <col min="6658" max="6658" width="19.7109375" style="159" customWidth="1"/>
    <col min="6659" max="6659" width="12.28515625" style="159" customWidth="1"/>
    <col min="6660" max="6660" width="11.5703125" style="159"/>
    <col min="6661" max="6661" width="12.42578125" style="159" customWidth="1"/>
    <col min="6662" max="6662" width="11.5703125" style="159"/>
    <col min="6663" max="6663" width="11.7109375" style="159" customWidth="1"/>
    <col min="6664" max="6913" width="11.5703125" style="159"/>
    <col min="6914" max="6914" width="19.7109375" style="159" customWidth="1"/>
    <col min="6915" max="6915" width="12.28515625" style="159" customWidth="1"/>
    <col min="6916" max="6916" width="11.5703125" style="159"/>
    <col min="6917" max="6917" width="12.42578125" style="159" customWidth="1"/>
    <col min="6918" max="6918" width="11.5703125" style="159"/>
    <col min="6919" max="6919" width="11.7109375" style="159" customWidth="1"/>
    <col min="6920" max="7169" width="11.5703125" style="159"/>
    <col min="7170" max="7170" width="19.7109375" style="159" customWidth="1"/>
    <col min="7171" max="7171" width="12.28515625" style="159" customWidth="1"/>
    <col min="7172" max="7172" width="11.5703125" style="159"/>
    <col min="7173" max="7173" width="12.42578125" style="159" customWidth="1"/>
    <col min="7174" max="7174" width="11.5703125" style="159"/>
    <col min="7175" max="7175" width="11.7109375" style="159" customWidth="1"/>
    <col min="7176" max="7425" width="11.5703125" style="159"/>
    <col min="7426" max="7426" width="19.7109375" style="159" customWidth="1"/>
    <col min="7427" max="7427" width="12.28515625" style="159" customWidth="1"/>
    <col min="7428" max="7428" width="11.5703125" style="159"/>
    <col min="7429" max="7429" width="12.42578125" style="159" customWidth="1"/>
    <col min="7430" max="7430" width="11.5703125" style="159"/>
    <col min="7431" max="7431" width="11.7109375" style="159" customWidth="1"/>
    <col min="7432" max="7681" width="11.5703125" style="159"/>
    <col min="7682" max="7682" width="19.7109375" style="159" customWidth="1"/>
    <col min="7683" max="7683" width="12.28515625" style="159" customWidth="1"/>
    <col min="7684" max="7684" width="11.5703125" style="159"/>
    <col min="7685" max="7685" width="12.42578125" style="159" customWidth="1"/>
    <col min="7686" max="7686" width="11.5703125" style="159"/>
    <col min="7687" max="7687" width="11.7109375" style="159" customWidth="1"/>
    <col min="7688" max="7937" width="11.5703125" style="159"/>
    <col min="7938" max="7938" width="19.7109375" style="159" customWidth="1"/>
    <col min="7939" max="7939" width="12.28515625" style="159" customWidth="1"/>
    <col min="7940" max="7940" width="11.5703125" style="159"/>
    <col min="7941" max="7941" width="12.42578125" style="159" customWidth="1"/>
    <col min="7942" max="7942" width="11.5703125" style="159"/>
    <col min="7943" max="7943" width="11.7109375" style="159" customWidth="1"/>
    <col min="7944" max="8193" width="11.5703125" style="159"/>
    <col min="8194" max="8194" width="19.7109375" style="159" customWidth="1"/>
    <col min="8195" max="8195" width="12.28515625" style="159" customWidth="1"/>
    <col min="8196" max="8196" width="11.5703125" style="159"/>
    <col min="8197" max="8197" width="12.42578125" style="159" customWidth="1"/>
    <col min="8198" max="8198" width="11.5703125" style="159"/>
    <col min="8199" max="8199" width="11.7109375" style="159" customWidth="1"/>
    <col min="8200" max="8449" width="11.5703125" style="159"/>
    <col min="8450" max="8450" width="19.7109375" style="159" customWidth="1"/>
    <col min="8451" max="8451" width="12.28515625" style="159" customWidth="1"/>
    <col min="8452" max="8452" width="11.5703125" style="159"/>
    <col min="8453" max="8453" width="12.42578125" style="159" customWidth="1"/>
    <col min="8454" max="8454" width="11.5703125" style="159"/>
    <col min="8455" max="8455" width="11.7109375" style="159" customWidth="1"/>
    <col min="8456" max="8705" width="11.5703125" style="159"/>
    <col min="8706" max="8706" width="19.7109375" style="159" customWidth="1"/>
    <col min="8707" max="8707" width="12.28515625" style="159" customWidth="1"/>
    <col min="8708" max="8708" width="11.5703125" style="159"/>
    <col min="8709" max="8709" width="12.42578125" style="159" customWidth="1"/>
    <col min="8710" max="8710" width="11.5703125" style="159"/>
    <col min="8711" max="8711" width="11.7109375" style="159" customWidth="1"/>
    <col min="8712" max="8961" width="11.5703125" style="159"/>
    <col min="8962" max="8962" width="19.7109375" style="159" customWidth="1"/>
    <col min="8963" max="8963" width="12.28515625" style="159" customWidth="1"/>
    <col min="8964" max="8964" width="11.5703125" style="159"/>
    <col min="8965" max="8965" width="12.42578125" style="159" customWidth="1"/>
    <col min="8966" max="8966" width="11.5703125" style="159"/>
    <col min="8967" max="8967" width="11.7109375" style="159" customWidth="1"/>
    <col min="8968" max="9217" width="11.5703125" style="159"/>
    <col min="9218" max="9218" width="19.7109375" style="159" customWidth="1"/>
    <col min="9219" max="9219" width="12.28515625" style="159" customWidth="1"/>
    <col min="9220" max="9220" width="11.5703125" style="159"/>
    <col min="9221" max="9221" width="12.42578125" style="159" customWidth="1"/>
    <col min="9222" max="9222" width="11.5703125" style="159"/>
    <col min="9223" max="9223" width="11.7109375" style="159" customWidth="1"/>
    <col min="9224" max="9473" width="11.5703125" style="159"/>
    <col min="9474" max="9474" width="19.7109375" style="159" customWidth="1"/>
    <col min="9475" max="9475" width="12.28515625" style="159" customWidth="1"/>
    <col min="9476" max="9476" width="11.5703125" style="159"/>
    <col min="9477" max="9477" width="12.42578125" style="159" customWidth="1"/>
    <col min="9478" max="9478" width="11.5703125" style="159"/>
    <col min="9479" max="9479" width="11.7109375" style="159" customWidth="1"/>
    <col min="9480" max="9729" width="11.5703125" style="159"/>
    <col min="9730" max="9730" width="19.7109375" style="159" customWidth="1"/>
    <col min="9731" max="9731" width="12.28515625" style="159" customWidth="1"/>
    <col min="9732" max="9732" width="11.5703125" style="159"/>
    <col min="9733" max="9733" width="12.42578125" style="159" customWidth="1"/>
    <col min="9734" max="9734" width="11.5703125" style="159"/>
    <col min="9735" max="9735" width="11.7109375" style="159" customWidth="1"/>
    <col min="9736" max="9985" width="11.5703125" style="159"/>
    <col min="9986" max="9986" width="19.7109375" style="159" customWidth="1"/>
    <col min="9987" max="9987" width="12.28515625" style="159" customWidth="1"/>
    <col min="9988" max="9988" width="11.5703125" style="159"/>
    <col min="9989" max="9989" width="12.42578125" style="159" customWidth="1"/>
    <col min="9990" max="9990" width="11.5703125" style="159"/>
    <col min="9991" max="9991" width="11.7109375" style="159" customWidth="1"/>
    <col min="9992" max="10241" width="11.5703125" style="159"/>
    <col min="10242" max="10242" width="19.7109375" style="159" customWidth="1"/>
    <col min="10243" max="10243" width="12.28515625" style="159" customWidth="1"/>
    <col min="10244" max="10244" width="11.5703125" style="159"/>
    <col min="10245" max="10245" width="12.42578125" style="159" customWidth="1"/>
    <col min="10246" max="10246" width="11.5703125" style="159"/>
    <col min="10247" max="10247" width="11.7109375" style="159" customWidth="1"/>
    <col min="10248" max="10497" width="11.5703125" style="159"/>
    <col min="10498" max="10498" width="19.7109375" style="159" customWidth="1"/>
    <col min="10499" max="10499" width="12.28515625" style="159" customWidth="1"/>
    <col min="10500" max="10500" width="11.5703125" style="159"/>
    <col min="10501" max="10501" width="12.42578125" style="159" customWidth="1"/>
    <col min="10502" max="10502" width="11.5703125" style="159"/>
    <col min="10503" max="10503" width="11.7109375" style="159" customWidth="1"/>
    <col min="10504" max="10753" width="11.5703125" style="159"/>
    <col min="10754" max="10754" width="19.7109375" style="159" customWidth="1"/>
    <col min="10755" max="10755" width="12.28515625" style="159" customWidth="1"/>
    <col min="10756" max="10756" width="11.5703125" style="159"/>
    <col min="10757" max="10757" width="12.42578125" style="159" customWidth="1"/>
    <col min="10758" max="10758" width="11.5703125" style="159"/>
    <col min="10759" max="10759" width="11.7109375" style="159" customWidth="1"/>
    <col min="10760" max="11009" width="11.5703125" style="159"/>
    <col min="11010" max="11010" width="19.7109375" style="159" customWidth="1"/>
    <col min="11011" max="11011" width="12.28515625" style="159" customWidth="1"/>
    <col min="11012" max="11012" width="11.5703125" style="159"/>
    <col min="11013" max="11013" width="12.42578125" style="159" customWidth="1"/>
    <col min="11014" max="11014" width="11.5703125" style="159"/>
    <col min="11015" max="11015" width="11.7109375" style="159" customWidth="1"/>
    <col min="11016" max="11265" width="11.5703125" style="159"/>
    <col min="11266" max="11266" width="19.7109375" style="159" customWidth="1"/>
    <col min="11267" max="11267" width="12.28515625" style="159" customWidth="1"/>
    <col min="11268" max="11268" width="11.5703125" style="159"/>
    <col min="11269" max="11269" width="12.42578125" style="159" customWidth="1"/>
    <col min="11270" max="11270" width="11.5703125" style="159"/>
    <col min="11271" max="11271" width="11.7109375" style="159" customWidth="1"/>
    <col min="11272" max="11521" width="11.5703125" style="159"/>
    <col min="11522" max="11522" width="19.7109375" style="159" customWidth="1"/>
    <col min="11523" max="11523" width="12.28515625" style="159" customWidth="1"/>
    <col min="11524" max="11524" width="11.5703125" style="159"/>
    <col min="11525" max="11525" width="12.42578125" style="159" customWidth="1"/>
    <col min="11526" max="11526" width="11.5703125" style="159"/>
    <col min="11527" max="11527" width="11.7109375" style="159" customWidth="1"/>
    <col min="11528" max="11777" width="11.5703125" style="159"/>
    <col min="11778" max="11778" width="19.7109375" style="159" customWidth="1"/>
    <col min="11779" max="11779" width="12.28515625" style="159" customWidth="1"/>
    <col min="11780" max="11780" width="11.5703125" style="159"/>
    <col min="11781" max="11781" width="12.42578125" style="159" customWidth="1"/>
    <col min="11782" max="11782" width="11.5703125" style="159"/>
    <col min="11783" max="11783" width="11.7109375" style="159" customWidth="1"/>
    <col min="11784" max="12033" width="11.5703125" style="159"/>
    <col min="12034" max="12034" width="19.7109375" style="159" customWidth="1"/>
    <col min="12035" max="12035" width="12.28515625" style="159" customWidth="1"/>
    <col min="12036" max="12036" width="11.5703125" style="159"/>
    <col min="12037" max="12037" width="12.42578125" style="159" customWidth="1"/>
    <col min="12038" max="12038" width="11.5703125" style="159"/>
    <col min="12039" max="12039" width="11.7109375" style="159" customWidth="1"/>
    <col min="12040" max="12289" width="11.5703125" style="159"/>
    <col min="12290" max="12290" width="19.7109375" style="159" customWidth="1"/>
    <col min="12291" max="12291" width="12.28515625" style="159" customWidth="1"/>
    <col min="12292" max="12292" width="11.5703125" style="159"/>
    <col min="12293" max="12293" width="12.42578125" style="159" customWidth="1"/>
    <col min="12294" max="12294" width="11.5703125" style="159"/>
    <col min="12295" max="12295" width="11.7109375" style="159" customWidth="1"/>
    <col min="12296" max="12545" width="11.5703125" style="159"/>
    <col min="12546" max="12546" width="19.7109375" style="159" customWidth="1"/>
    <col min="12547" max="12547" width="12.28515625" style="159" customWidth="1"/>
    <col min="12548" max="12548" width="11.5703125" style="159"/>
    <col min="12549" max="12549" width="12.42578125" style="159" customWidth="1"/>
    <col min="12550" max="12550" width="11.5703125" style="159"/>
    <col min="12551" max="12551" width="11.7109375" style="159" customWidth="1"/>
    <col min="12552" max="12801" width="11.5703125" style="159"/>
    <col min="12802" max="12802" width="19.7109375" style="159" customWidth="1"/>
    <col min="12803" max="12803" width="12.28515625" style="159" customWidth="1"/>
    <col min="12804" max="12804" width="11.5703125" style="159"/>
    <col min="12805" max="12805" width="12.42578125" style="159" customWidth="1"/>
    <col min="12806" max="12806" width="11.5703125" style="159"/>
    <col min="12807" max="12807" width="11.7109375" style="159" customWidth="1"/>
    <col min="12808" max="13057" width="11.5703125" style="159"/>
    <col min="13058" max="13058" width="19.7109375" style="159" customWidth="1"/>
    <col min="13059" max="13059" width="12.28515625" style="159" customWidth="1"/>
    <col min="13060" max="13060" width="11.5703125" style="159"/>
    <col min="13061" max="13061" width="12.42578125" style="159" customWidth="1"/>
    <col min="13062" max="13062" width="11.5703125" style="159"/>
    <col min="13063" max="13063" width="11.7109375" style="159" customWidth="1"/>
    <col min="13064" max="13313" width="11.5703125" style="159"/>
    <col min="13314" max="13314" width="19.7109375" style="159" customWidth="1"/>
    <col min="13315" max="13315" width="12.28515625" style="159" customWidth="1"/>
    <col min="13316" max="13316" width="11.5703125" style="159"/>
    <col min="13317" max="13317" width="12.42578125" style="159" customWidth="1"/>
    <col min="13318" max="13318" width="11.5703125" style="159"/>
    <col min="13319" max="13319" width="11.7109375" style="159" customWidth="1"/>
    <col min="13320" max="13569" width="11.5703125" style="159"/>
    <col min="13570" max="13570" width="19.7109375" style="159" customWidth="1"/>
    <col min="13571" max="13571" width="12.28515625" style="159" customWidth="1"/>
    <col min="13572" max="13572" width="11.5703125" style="159"/>
    <col min="13573" max="13573" width="12.42578125" style="159" customWidth="1"/>
    <col min="13574" max="13574" width="11.5703125" style="159"/>
    <col min="13575" max="13575" width="11.7109375" style="159" customWidth="1"/>
    <col min="13576" max="13825" width="11.5703125" style="159"/>
    <col min="13826" max="13826" width="19.7109375" style="159" customWidth="1"/>
    <col min="13827" max="13827" width="12.28515625" style="159" customWidth="1"/>
    <col min="13828" max="13828" width="11.5703125" style="159"/>
    <col min="13829" max="13829" width="12.42578125" style="159" customWidth="1"/>
    <col min="13830" max="13830" width="11.5703125" style="159"/>
    <col min="13831" max="13831" width="11.7109375" style="159" customWidth="1"/>
    <col min="13832" max="14081" width="11.5703125" style="159"/>
    <col min="14082" max="14082" width="19.7109375" style="159" customWidth="1"/>
    <col min="14083" max="14083" width="12.28515625" style="159" customWidth="1"/>
    <col min="14084" max="14084" width="11.5703125" style="159"/>
    <col min="14085" max="14085" width="12.42578125" style="159" customWidth="1"/>
    <col min="14086" max="14086" width="11.5703125" style="159"/>
    <col min="14087" max="14087" width="11.7109375" style="159" customWidth="1"/>
    <col min="14088" max="14337" width="11.5703125" style="159"/>
    <col min="14338" max="14338" width="19.7109375" style="159" customWidth="1"/>
    <col min="14339" max="14339" width="12.28515625" style="159" customWidth="1"/>
    <col min="14340" max="14340" width="11.5703125" style="159"/>
    <col min="14341" max="14341" width="12.42578125" style="159" customWidth="1"/>
    <col min="14342" max="14342" width="11.5703125" style="159"/>
    <col min="14343" max="14343" width="11.7109375" style="159" customWidth="1"/>
    <col min="14344" max="14593" width="11.5703125" style="159"/>
    <col min="14594" max="14594" width="19.7109375" style="159" customWidth="1"/>
    <col min="14595" max="14595" width="12.28515625" style="159" customWidth="1"/>
    <col min="14596" max="14596" width="11.5703125" style="159"/>
    <col min="14597" max="14597" width="12.42578125" style="159" customWidth="1"/>
    <col min="14598" max="14598" width="11.5703125" style="159"/>
    <col min="14599" max="14599" width="11.7109375" style="159" customWidth="1"/>
    <col min="14600" max="14849" width="11.5703125" style="159"/>
    <col min="14850" max="14850" width="19.7109375" style="159" customWidth="1"/>
    <col min="14851" max="14851" width="12.28515625" style="159" customWidth="1"/>
    <col min="14852" max="14852" width="11.5703125" style="159"/>
    <col min="14853" max="14853" width="12.42578125" style="159" customWidth="1"/>
    <col min="14854" max="14854" width="11.5703125" style="159"/>
    <col min="14855" max="14855" width="11.7109375" style="159" customWidth="1"/>
    <col min="14856" max="15105" width="11.5703125" style="159"/>
    <col min="15106" max="15106" width="19.7109375" style="159" customWidth="1"/>
    <col min="15107" max="15107" width="12.28515625" style="159" customWidth="1"/>
    <col min="15108" max="15108" width="11.5703125" style="159"/>
    <col min="15109" max="15109" width="12.42578125" style="159" customWidth="1"/>
    <col min="15110" max="15110" width="11.5703125" style="159"/>
    <col min="15111" max="15111" width="11.7109375" style="159" customWidth="1"/>
    <col min="15112" max="15361" width="11.5703125" style="159"/>
    <col min="15362" max="15362" width="19.7109375" style="159" customWidth="1"/>
    <col min="15363" max="15363" width="12.28515625" style="159" customWidth="1"/>
    <col min="15364" max="15364" width="11.5703125" style="159"/>
    <col min="15365" max="15365" width="12.42578125" style="159" customWidth="1"/>
    <col min="15366" max="15366" width="11.5703125" style="159"/>
    <col min="15367" max="15367" width="11.7109375" style="159" customWidth="1"/>
    <col min="15368" max="15617" width="11.5703125" style="159"/>
    <col min="15618" max="15618" width="19.7109375" style="159" customWidth="1"/>
    <col min="15619" max="15619" width="12.28515625" style="159" customWidth="1"/>
    <col min="15620" max="15620" width="11.5703125" style="159"/>
    <col min="15621" max="15621" width="12.42578125" style="159" customWidth="1"/>
    <col min="15622" max="15622" width="11.5703125" style="159"/>
    <col min="15623" max="15623" width="11.7109375" style="159" customWidth="1"/>
    <col min="15624" max="15873" width="11.5703125" style="159"/>
    <col min="15874" max="15874" width="19.7109375" style="159" customWidth="1"/>
    <col min="15875" max="15875" width="12.28515625" style="159" customWidth="1"/>
    <col min="15876" max="15876" width="11.5703125" style="159"/>
    <col min="15877" max="15877" width="12.42578125" style="159" customWidth="1"/>
    <col min="15878" max="15878" width="11.5703125" style="159"/>
    <col min="15879" max="15879" width="11.7109375" style="159" customWidth="1"/>
    <col min="15880" max="16129" width="11.5703125" style="159"/>
    <col min="16130" max="16130" width="19.7109375" style="159" customWidth="1"/>
    <col min="16131" max="16131" width="12.28515625" style="159" customWidth="1"/>
    <col min="16132" max="16132" width="11.5703125" style="159"/>
    <col min="16133" max="16133" width="12.42578125" style="159" customWidth="1"/>
    <col min="16134" max="16134" width="11.5703125" style="159"/>
    <col min="16135" max="16135" width="11.7109375" style="159" customWidth="1"/>
    <col min="16136" max="16384" width="11.5703125" style="159"/>
  </cols>
  <sheetData>
    <row r="1" spans="2:9" ht="12.75" customHeight="1" x14ac:dyDescent="0.2">
      <c r="B1" s="158" t="s">
        <v>163</v>
      </c>
      <c r="C1" s="158"/>
      <c r="D1" s="158"/>
      <c r="E1" s="158"/>
      <c r="F1" s="158"/>
      <c r="G1" s="158"/>
      <c r="H1" s="158"/>
      <c r="I1" s="158"/>
    </row>
    <row r="2" spans="2:9" ht="12.75" customHeight="1" x14ac:dyDescent="0.2">
      <c r="B2" s="160"/>
      <c r="C2" s="160"/>
      <c r="D2" s="161" t="s">
        <v>164</v>
      </c>
      <c r="E2" s="161"/>
      <c r="F2" s="161"/>
      <c r="G2" s="162" t="s">
        <v>165</v>
      </c>
      <c r="H2" s="162"/>
      <c r="I2" s="162"/>
    </row>
    <row r="3" spans="2:9" ht="25.5" x14ac:dyDescent="0.2">
      <c r="B3" s="160"/>
      <c r="C3" s="160"/>
      <c r="D3" s="160" t="s">
        <v>166</v>
      </c>
      <c r="E3" s="163" t="s">
        <v>167</v>
      </c>
      <c r="F3" s="163" t="s">
        <v>168</v>
      </c>
      <c r="G3" s="160" t="s">
        <v>166</v>
      </c>
      <c r="H3" s="164" t="s">
        <v>167</v>
      </c>
      <c r="I3" s="163" t="s">
        <v>168</v>
      </c>
    </row>
    <row r="4" spans="2:9" x14ac:dyDescent="0.2">
      <c r="B4" s="160" t="s">
        <v>169</v>
      </c>
      <c r="C4" s="160" t="s">
        <v>170</v>
      </c>
      <c r="D4" s="160" t="s">
        <v>171</v>
      </c>
      <c r="E4" s="160">
        <v>35.700000000000003</v>
      </c>
      <c r="F4" s="160">
        <v>41.4</v>
      </c>
      <c r="G4" s="160" t="s">
        <v>172</v>
      </c>
      <c r="H4" s="160">
        <v>2.5</v>
      </c>
      <c r="I4" s="160">
        <v>2.94</v>
      </c>
    </row>
    <row r="5" spans="2:9" x14ac:dyDescent="0.2">
      <c r="B5" s="160" t="s">
        <v>173</v>
      </c>
      <c r="C5" s="160"/>
      <c r="D5" s="160" t="s">
        <v>174</v>
      </c>
      <c r="E5" s="160">
        <v>42.8</v>
      </c>
      <c r="F5" s="160">
        <v>49</v>
      </c>
      <c r="G5" s="160" t="s">
        <v>175</v>
      </c>
      <c r="H5" s="160">
        <v>3.18</v>
      </c>
      <c r="I5" s="160">
        <v>3.59</v>
      </c>
    </row>
    <row r="6" spans="2:9" x14ac:dyDescent="0.2">
      <c r="B6" s="160" t="s">
        <v>176</v>
      </c>
      <c r="C6" s="160"/>
      <c r="D6" s="160" t="s">
        <v>174</v>
      </c>
      <c r="E6" s="160">
        <v>40.4</v>
      </c>
      <c r="F6" s="160">
        <v>45.5</v>
      </c>
      <c r="G6" s="160" t="s">
        <v>175</v>
      </c>
      <c r="H6" s="160">
        <v>3.15</v>
      </c>
      <c r="I6" s="160">
        <v>3.39</v>
      </c>
    </row>
    <row r="7" spans="2:9" x14ac:dyDescent="0.2">
      <c r="B7" s="160" t="s">
        <v>177</v>
      </c>
      <c r="C7" s="160" t="s">
        <v>170</v>
      </c>
      <c r="D7" s="160" t="s">
        <v>178</v>
      </c>
      <c r="E7" s="160">
        <v>3.6</v>
      </c>
      <c r="F7" s="160">
        <v>10.8</v>
      </c>
      <c r="G7" s="160" t="s">
        <v>179</v>
      </c>
      <c r="H7" s="160">
        <v>0</v>
      </c>
      <c r="I7" s="160">
        <v>0.57400000000000007</v>
      </c>
    </row>
    <row r="8" spans="2:9" x14ac:dyDescent="0.2">
      <c r="B8" s="160" t="s">
        <v>114</v>
      </c>
      <c r="C8" s="160" t="s">
        <v>170</v>
      </c>
      <c r="D8" s="160" t="s">
        <v>178</v>
      </c>
      <c r="E8" s="160">
        <v>3.6</v>
      </c>
      <c r="F8" s="160">
        <v>10</v>
      </c>
      <c r="G8" s="160" t="s">
        <v>179</v>
      </c>
      <c r="H8" s="160">
        <v>0</v>
      </c>
      <c r="I8" s="160">
        <v>0.58899999999999997</v>
      </c>
    </row>
    <row r="9" spans="2:9" x14ac:dyDescent="0.2">
      <c r="B9" s="160" t="s">
        <v>180</v>
      </c>
      <c r="C9" s="160" t="s">
        <v>170</v>
      </c>
      <c r="D9" s="160" t="s">
        <v>178</v>
      </c>
      <c r="E9" s="160">
        <v>3.6</v>
      </c>
      <c r="F9" s="160">
        <v>4.0999999999999996</v>
      </c>
      <c r="G9" s="160" t="s">
        <v>179</v>
      </c>
      <c r="H9" s="160">
        <v>0</v>
      </c>
      <c r="I9" s="160">
        <v>0.253</v>
      </c>
    </row>
    <row r="10" spans="2:9" x14ac:dyDescent="0.2">
      <c r="B10" s="160" t="s">
        <v>181</v>
      </c>
      <c r="C10" s="160"/>
      <c r="D10" s="160" t="s">
        <v>178</v>
      </c>
      <c r="E10" s="160">
        <v>3.6</v>
      </c>
      <c r="F10" s="160">
        <v>4.0999999999999996</v>
      </c>
      <c r="G10" s="160" t="s">
        <v>179</v>
      </c>
      <c r="H10" s="160">
        <v>0.20200000000000001</v>
      </c>
      <c r="I10" s="160">
        <v>0.249</v>
      </c>
    </row>
    <row r="11" spans="2:9" x14ac:dyDescent="0.2">
      <c r="B11" s="160" t="s">
        <v>182</v>
      </c>
      <c r="C11" s="160"/>
      <c r="D11" s="160" t="s">
        <v>178</v>
      </c>
      <c r="E11" s="160">
        <v>3.2</v>
      </c>
      <c r="F11" s="160">
        <v>3.7</v>
      </c>
      <c r="G11" s="160" t="s">
        <v>179</v>
      </c>
      <c r="H11" s="160">
        <v>0.182</v>
      </c>
      <c r="I11" s="160">
        <v>0.22500000000000001</v>
      </c>
    </row>
    <row r="12" spans="2:9" x14ac:dyDescent="0.2">
      <c r="B12" s="160" t="s">
        <v>183</v>
      </c>
      <c r="C12" s="160"/>
      <c r="D12" s="160" t="s">
        <v>174</v>
      </c>
      <c r="E12" s="160">
        <v>35.799999999999997</v>
      </c>
      <c r="F12" s="160">
        <v>42</v>
      </c>
      <c r="G12" s="160" t="s">
        <v>175</v>
      </c>
      <c r="H12" s="160">
        <v>2.67</v>
      </c>
      <c r="I12" s="160">
        <v>3.15</v>
      </c>
    </row>
    <row r="13" spans="2:9" x14ac:dyDescent="0.2">
      <c r="B13" s="165"/>
      <c r="C13" s="165"/>
      <c r="D13" s="165"/>
      <c r="E13" s="165"/>
      <c r="F13" s="165"/>
      <c r="G13" s="165"/>
      <c r="H13" s="165"/>
      <c r="I13" s="165"/>
    </row>
    <row r="14" spans="2:9" x14ac:dyDescent="0.2">
      <c r="B14" s="160" t="s">
        <v>184</v>
      </c>
      <c r="C14" s="160" t="s">
        <v>170</v>
      </c>
      <c r="D14" s="160" t="s">
        <v>171</v>
      </c>
      <c r="E14" s="160">
        <v>35.700000000000003</v>
      </c>
      <c r="F14" s="160">
        <v>41.4</v>
      </c>
      <c r="G14" s="160" t="s">
        <v>172</v>
      </c>
      <c r="H14" s="166">
        <f>3082.85011698006/1000</f>
        <v>3.0828501169800604</v>
      </c>
      <c r="I14" s="160">
        <v>2.94</v>
      </c>
    </row>
    <row r="16" spans="2:9" x14ac:dyDescent="0.2">
      <c r="B16" s="167" t="s">
        <v>185</v>
      </c>
      <c r="C16" s="167"/>
      <c r="D16" s="167"/>
      <c r="E16" s="167"/>
      <c r="F16" s="167"/>
      <c r="G16" s="167"/>
      <c r="H16" s="167"/>
      <c r="I16" s="167"/>
    </row>
    <row r="17" spans="2:9" ht="25.5" x14ac:dyDescent="0.2">
      <c r="B17" s="163" t="s">
        <v>186</v>
      </c>
      <c r="C17" s="160" t="s">
        <v>187</v>
      </c>
      <c r="D17" s="160" t="s">
        <v>166</v>
      </c>
      <c r="E17" s="168" t="s">
        <v>188</v>
      </c>
      <c r="F17" s="168" t="s">
        <v>189</v>
      </c>
      <c r="G17" s="168" t="s">
        <v>190</v>
      </c>
    </row>
    <row r="18" spans="2:9" x14ac:dyDescent="0.2">
      <c r="B18" s="160" t="s">
        <v>191</v>
      </c>
      <c r="C18" s="160" t="s">
        <v>169</v>
      </c>
      <c r="D18" s="160" t="s">
        <v>192</v>
      </c>
      <c r="E18" s="169">
        <v>0.14000000000000001</v>
      </c>
      <c r="F18" s="169">
        <v>7.8E-2</v>
      </c>
      <c r="G18" s="169">
        <v>6.3E-2</v>
      </c>
    </row>
    <row r="19" spans="2:9" x14ac:dyDescent="0.2">
      <c r="B19" s="160" t="s">
        <v>193</v>
      </c>
      <c r="C19" s="160" t="s">
        <v>169</v>
      </c>
      <c r="D19" s="160" t="s">
        <v>192</v>
      </c>
      <c r="E19" s="169">
        <v>0.108</v>
      </c>
      <c r="F19" s="169">
        <v>6.0999999999999999E-2</v>
      </c>
      <c r="G19" s="169">
        <v>0.05</v>
      </c>
    </row>
    <row r="20" spans="2:9" x14ac:dyDescent="0.2">
      <c r="B20" s="160" t="s">
        <v>194</v>
      </c>
      <c r="C20" s="160" t="s">
        <v>169</v>
      </c>
      <c r="D20" s="160" t="s">
        <v>192</v>
      </c>
      <c r="E20" s="169">
        <v>6.3E-2</v>
      </c>
      <c r="F20" s="169">
        <v>3.6000000000000004E-2</v>
      </c>
      <c r="G20" s="169">
        <v>2.9000000000000001E-2</v>
      </c>
    </row>
    <row r="21" spans="2:9" x14ac:dyDescent="0.2">
      <c r="B21" s="160" t="s">
        <v>195</v>
      </c>
      <c r="C21" s="160" t="s">
        <v>169</v>
      </c>
      <c r="D21" s="160" t="s">
        <v>192</v>
      </c>
      <c r="E21" s="169">
        <v>3.7999999999999999E-2</v>
      </c>
      <c r="F21" s="169">
        <v>2.3E-2</v>
      </c>
      <c r="G21" s="169">
        <v>0.02</v>
      </c>
    </row>
    <row r="22" spans="2:9" x14ac:dyDescent="0.2">
      <c r="B22" s="160" t="s">
        <v>196</v>
      </c>
      <c r="C22" s="160" t="s">
        <v>177</v>
      </c>
      <c r="D22" s="160" t="s">
        <v>197</v>
      </c>
      <c r="E22" s="169">
        <v>4.2000000000000003E-2</v>
      </c>
      <c r="F22" s="169">
        <v>3.2000000000000001E-2</v>
      </c>
      <c r="G22" s="169">
        <v>2.8000000000000001E-2</v>
      </c>
    </row>
    <row r="23" spans="2:9" x14ac:dyDescent="0.2">
      <c r="B23" s="160" t="s">
        <v>198</v>
      </c>
      <c r="C23" s="160" t="s">
        <v>169</v>
      </c>
      <c r="D23" s="160" t="s">
        <v>192</v>
      </c>
      <c r="E23" s="169">
        <v>1.0999999999999999E-2</v>
      </c>
      <c r="F23" s="169">
        <v>9.0000000000000011E-3</v>
      </c>
      <c r="G23" s="169">
        <v>8.0000000000000002E-3</v>
      </c>
    </row>
    <row r="24" spans="2:9" x14ac:dyDescent="0.2">
      <c r="B24" s="160" t="s">
        <v>199</v>
      </c>
      <c r="C24" s="160" t="s">
        <v>200</v>
      </c>
      <c r="D24" s="160" t="s">
        <v>201</v>
      </c>
      <c r="E24" s="169">
        <v>8.8999999999999999E-3</v>
      </c>
      <c r="F24" s="169">
        <v>5.1000000000000004E-3</v>
      </c>
      <c r="G24" s="169">
        <v>3.7000000000000002E-3</v>
      </c>
    </row>
    <row r="25" spans="2:9" x14ac:dyDescent="0.2">
      <c r="B25" s="160" t="s">
        <v>202</v>
      </c>
      <c r="C25" s="160" t="s">
        <v>200</v>
      </c>
      <c r="D25" s="160" t="s">
        <v>201</v>
      </c>
      <c r="E25" s="169" t="s">
        <v>152</v>
      </c>
      <c r="F25" s="169" t="s">
        <v>152</v>
      </c>
      <c r="G25" s="169">
        <v>1.7000000000000001E-3</v>
      </c>
    </row>
    <row r="26" spans="2:9" x14ac:dyDescent="0.2">
      <c r="B26" s="160" t="s">
        <v>203</v>
      </c>
      <c r="C26" s="160" t="s">
        <v>169</v>
      </c>
      <c r="D26" s="160" t="s">
        <v>192</v>
      </c>
      <c r="E26" s="169" t="s">
        <v>152</v>
      </c>
      <c r="F26" s="169" t="s">
        <v>152</v>
      </c>
      <c r="G26" s="169">
        <v>1.14E-2</v>
      </c>
    </row>
    <row r="27" spans="2:9" x14ac:dyDescent="0.2">
      <c r="B27" s="160" t="s">
        <v>204</v>
      </c>
      <c r="C27" s="160" t="s">
        <v>173</v>
      </c>
      <c r="D27" s="160" t="s">
        <v>201</v>
      </c>
      <c r="E27" s="169">
        <v>0.14799999999999999</v>
      </c>
      <c r="F27" s="169" t="s">
        <v>152</v>
      </c>
      <c r="G27" s="169" t="s">
        <v>152</v>
      </c>
    </row>
    <row r="28" spans="2:9" x14ac:dyDescent="0.2">
      <c r="B28" s="160" t="s">
        <v>205</v>
      </c>
      <c r="C28" s="160" t="s">
        <v>173</v>
      </c>
      <c r="D28" s="160" t="s">
        <v>201</v>
      </c>
      <c r="E28" s="169">
        <v>0.25800000000000001</v>
      </c>
      <c r="F28" s="169" t="s">
        <v>152</v>
      </c>
      <c r="G28" s="169" t="s">
        <v>152</v>
      </c>
    </row>
    <row r="30" spans="2:9" x14ac:dyDescent="0.2">
      <c r="B30" s="167" t="s">
        <v>206</v>
      </c>
      <c r="C30" s="167"/>
      <c r="D30" s="167"/>
      <c r="E30" s="167"/>
      <c r="F30" s="167"/>
      <c r="G30" s="167"/>
      <c r="H30" s="167"/>
      <c r="I30" s="167"/>
    </row>
    <row r="31" spans="2:9" ht="25.5" x14ac:dyDescent="0.2">
      <c r="B31" s="163" t="s">
        <v>186</v>
      </c>
      <c r="C31" s="160" t="s">
        <v>187</v>
      </c>
      <c r="D31" s="160" t="s">
        <v>166</v>
      </c>
      <c r="E31" s="168" t="s">
        <v>188</v>
      </c>
      <c r="F31" s="168" t="s">
        <v>189</v>
      </c>
      <c r="G31" s="168" t="s">
        <v>190</v>
      </c>
    </row>
    <row r="32" spans="2:9" x14ac:dyDescent="0.2">
      <c r="B32" s="160" t="s">
        <v>191</v>
      </c>
      <c r="C32" s="160" t="s">
        <v>169</v>
      </c>
      <c r="D32" s="160" t="s">
        <v>207</v>
      </c>
      <c r="E32" s="169">
        <v>412</v>
      </c>
      <c r="F32" s="169">
        <v>229</v>
      </c>
      <c r="G32" s="169">
        <v>185</v>
      </c>
    </row>
    <row r="33" spans="2:9" x14ac:dyDescent="0.2">
      <c r="B33" s="160" t="s">
        <v>193</v>
      </c>
      <c r="C33" s="160" t="s">
        <v>169</v>
      </c>
      <c r="D33" s="160" t="s">
        <v>207</v>
      </c>
      <c r="E33" s="169">
        <v>318</v>
      </c>
      <c r="F33" s="169">
        <v>179</v>
      </c>
      <c r="G33" s="169">
        <v>147</v>
      </c>
    </row>
    <row r="34" spans="2:9" x14ac:dyDescent="0.2">
      <c r="B34" s="160" t="s">
        <v>194</v>
      </c>
      <c r="C34" s="160" t="s">
        <v>169</v>
      </c>
      <c r="D34" s="160" t="s">
        <v>207</v>
      </c>
      <c r="E34" s="169">
        <v>185</v>
      </c>
      <c r="F34" s="169">
        <v>106</v>
      </c>
      <c r="G34" s="169">
        <v>85</v>
      </c>
    </row>
    <row r="35" spans="2:9" x14ac:dyDescent="0.2">
      <c r="B35" s="160" t="s">
        <v>195</v>
      </c>
      <c r="C35" s="160" t="s">
        <v>169</v>
      </c>
      <c r="D35" s="160" t="s">
        <v>207</v>
      </c>
      <c r="E35" s="169">
        <v>112</v>
      </c>
      <c r="F35" s="169">
        <v>68</v>
      </c>
      <c r="G35" s="169">
        <v>59</v>
      </c>
    </row>
    <row r="36" spans="2:9" x14ac:dyDescent="0.2">
      <c r="B36" s="160" t="s">
        <v>196</v>
      </c>
      <c r="C36" s="160" t="s">
        <v>177</v>
      </c>
      <c r="D36" s="160" t="s">
        <v>207</v>
      </c>
      <c r="E36" s="169">
        <v>24</v>
      </c>
      <c r="F36" s="169">
        <v>18</v>
      </c>
      <c r="G36" s="169">
        <v>16</v>
      </c>
    </row>
    <row r="37" spans="2:9" x14ac:dyDescent="0.2">
      <c r="B37" s="160" t="s">
        <v>198</v>
      </c>
      <c r="C37" s="160" t="s">
        <v>169</v>
      </c>
      <c r="D37" s="160" t="s">
        <v>207</v>
      </c>
      <c r="E37" s="169">
        <v>32</v>
      </c>
      <c r="F37" s="169">
        <v>26</v>
      </c>
      <c r="G37" s="169">
        <v>24</v>
      </c>
    </row>
    <row r="38" spans="2:9" x14ac:dyDescent="0.2">
      <c r="B38" s="160" t="s">
        <v>199</v>
      </c>
      <c r="C38" s="160" t="s">
        <v>200</v>
      </c>
      <c r="D38" s="160" t="s">
        <v>207</v>
      </c>
      <c r="E38" s="169">
        <v>30</v>
      </c>
      <c r="F38" s="169">
        <v>17</v>
      </c>
      <c r="G38" s="169">
        <v>13</v>
      </c>
    </row>
    <row r="39" spans="2:9" x14ac:dyDescent="0.2">
      <c r="B39" s="160" t="s">
        <v>202</v>
      </c>
      <c r="C39" s="160" t="s">
        <v>200</v>
      </c>
      <c r="D39" s="160" t="s">
        <v>207</v>
      </c>
      <c r="E39" s="169" t="s">
        <v>152</v>
      </c>
      <c r="F39" s="169" t="s">
        <v>152</v>
      </c>
      <c r="G39" s="169">
        <v>6</v>
      </c>
    </row>
    <row r="40" spans="2:9" x14ac:dyDescent="0.2">
      <c r="B40" s="160" t="s">
        <v>203</v>
      </c>
      <c r="C40" s="160" t="s">
        <v>169</v>
      </c>
      <c r="D40" s="160" t="s">
        <v>207</v>
      </c>
      <c r="E40" s="169" t="s">
        <v>152</v>
      </c>
      <c r="F40" s="169" t="s">
        <v>152</v>
      </c>
      <c r="G40" s="169">
        <v>34</v>
      </c>
    </row>
    <row r="41" spans="2:9" x14ac:dyDescent="0.2">
      <c r="B41" s="160" t="s">
        <v>204</v>
      </c>
      <c r="C41" s="160" t="s">
        <v>173</v>
      </c>
      <c r="D41" s="160" t="s">
        <v>207</v>
      </c>
      <c r="E41" s="169">
        <v>531</v>
      </c>
      <c r="F41" s="169" t="s">
        <v>152</v>
      </c>
      <c r="G41" s="169" t="s">
        <v>152</v>
      </c>
    </row>
    <row r="42" spans="2:9" x14ac:dyDescent="0.2">
      <c r="B42" s="160" t="s">
        <v>205</v>
      </c>
      <c r="C42" s="160" t="s">
        <v>173</v>
      </c>
      <c r="D42" s="160" t="s">
        <v>207</v>
      </c>
      <c r="E42" s="169">
        <v>926</v>
      </c>
      <c r="F42" s="169" t="s">
        <v>152</v>
      </c>
      <c r="G42" s="169" t="s">
        <v>152</v>
      </c>
    </row>
    <row r="44" spans="2:9" x14ac:dyDescent="0.2">
      <c r="B44" s="170"/>
      <c r="C44" s="171"/>
      <c r="D44" s="171"/>
      <c r="E44" s="171"/>
      <c r="F44" s="172"/>
      <c r="G44" s="169" t="s">
        <v>208</v>
      </c>
      <c r="H44" s="169" t="s">
        <v>209</v>
      </c>
      <c r="I44" s="169" t="s">
        <v>210</v>
      </c>
    </row>
    <row r="45" spans="2:9" x14ac:dyDescent="0.2">
      <c r="B45" s="173" t="s">
        <v>211</v>
      </c>
      <c r="C45" s="174"/>
      <c r="D45" s="174"/>
      <c r="E45" s="174"/>
      <c r="F45" s="175"/>
      <c r="G45" s="169" t="s">
        <v>152</v>
      </c>
      <c r="H45" s="169"/>
      <c r="I45" s="169"/>
    </row>
    <row r="46" spans="2:9" x14ac:dyDescent="0.2">
      <c r="B46" s="173" t="s">
        <v>212</v>
      </c>
      <c r="C46" s="174"/>
      <c r="D46" s="174"/>
      <c r="E46" s="174"/>
      <c r="F46" s="175"/>
      <c r="G46" s="169" t="s">
        <v>152</v>
      </c>
      <c r="H46" s="169"/>
      <c r="I46" s="169"/>
    </row>
    <row r="47" spans="2:9" x14ac:dyDescent="0.2">
      <c r="B47" s="173" t="s">
        <v>213</v>
      </c>
      <c r="C47" s="174"/>
      <c r="D47" s="174"/>
      <c r="E47" s="174"/>
      <c r="F47" s="175"/>
      <c r="G47" s="169" t="s">
        <v>152</v>
      </c>
      <c r="H47" s="169"/>
      <c r="I47" s="169"/>
    </row>
    <row r="48" spans="2:9" x14ac:dyDescent="0.2">
      <c r="B48" s="173" t="s">
        <v>214</v>
      </c>
      <c r="C48" s="174"/>
      <c r="D48" s="174"/>
      <c r="E48" s="174"/>
      <c r="F48" s="175"/>
      <c r="G48" s="169"/>
      <c r="H48" s="169" t="s">
        <v>152</v>
      </c>
      <c r="I48" s="169"/>
    </row>
    <row r="49" spans="2:9" x14ac:dyDescent="0.2">
      <c r="B49" s="173" t="s">
        <v>215</v>
      </c>
      <c r="C49" s="174"/>
      <c r="D49" s="174"/>
      <c r="E49" s="174"/>
      <c r="F49" s="175"/>
      <c r="G49" s="169"/>
      <c r="H49" s="169" t="s">
        <v>152</v>
      </c>
      <c r="I49" s="169"/>
    </row>
    <row r="50" spans="2:9" x14ac:dyDescent="0.2">
      <c r="B50" s="173" t="s">
        <v>216</v>
      </c>
      <c r="C50" s="174"/>
      <c r="D50" s="174"/>
      <c r="E50" s="174"/>
      <c r="F50" s="175"/>
      <c r="G50" s="169"/>
      <c r="H50" s="169"/>
      <c r="I50" s="169" t="s">
        <v>152</v>
      </c>
    </row>
    <row r="51" spans="2:9" x14ac:dyDescent="0.2">
      <c r="B51" s="173" t="s">
        <v>217</v>
      </c>
      <c r="C51" s="174"/>
      <c r="D51" s="174"/>
      <c r="E51" s="174"/>
      <c r="F51" s="175"/>
      <c r="G51" s="169"/>
      <c r="H51" s="169"/>
      <c r="I51" s="169" t="s">
        <v>152</v>
      </c>
    </row>
    <row r="52" spans="2:9" x14ac:dyDescent="0.2">
      <c r="B52" s="173" t="s">
        <v>218</v>
      </c>
      <c r="C52" s="174"/>
      <c r="D52" s="174"/>
      <c r="E52" s="174"/>
      <c r="F52" s="175"/>
      <c r="G52" s="169"/>
      <c r="H52" s="169"/>
      <c r="I52" s="169" t="s">
        <v>152</v>
      </c>
    </row>
    <row r="53" spans="2:9" x14ac:dyDescent="0.2">
      <c r="B53" s="173" t="s">
        <v>219</v>
      </c>
      <c r="C53" s="174"/>
      <c r="D53" s="174"/>
      <c r="E53" s="174"/>
      <c r="F53" s="175"/>
      <c r="G53" s="169"/>
      <c r="H53" s="169"/>
      <c r="I53" s="169" t="s">
        <v>152</v>
      </c>
    </row>
    <row r="54" spans="2:9" x14ac:dyDescent="0.2">
      <c r="B54" s="173" t="s">
        <v>220</v>
      </c>
      <c r="C54" s="174"/>
      <c r="D54" s="174"/>
      <c r="E54" s="174"/>
      <c r="F54" s="175"/>
      <c r="G54" s="169"/>
      <c r="H54" s="169"/>
      <c r="I54" s="169" t="s">
        <v>152</v>
      </c>
    </row>
    <row r="55" spans="2:9" ht="12.75" customHeight="1" x14ac:dyDescent="0.2"/>
    <row r="56" spans="2:9" ht="52.5" customHeight="1" x14ac:dyDescent="0.2">
      <c r="B56" s="176" t="s">
        <v>164</v>
      </c>
      <c r="C56" s="177"/>
      <c r="D56" s="178" t="s">
        <v>221</v>
      </c>
      <c r="E56" s="178"/>
      <c r="F56" s="178" t="s">
        <v>222</v>
      </c>
      <c r="G56" s="178"/>
    </row>
    <row r="57" spans="2:9" x14ac:dyDescent="0.2">
      <c r="B57" s="179"/>
      <c r="C57" s="180"/>
      <c r="D57" s="181" t="s">
        <v>223</v>
      </c>
      <c r="E57" s="181" t="s">
        <v>224</v>
      </c>
      <c r="F57" s="181" t="s">
        <v>223</v>
      </c>
      <c r="G57" s="181" t="s">
        <v>224</v>
      </c>
    </row>
    <row r="58" spans="2:9" ht="25.5" x14ac:dyDescent="0.2">
      <c r="B58" s="163" t="s">
        <v>225</v>
      </c>
      <c r="C58" s="160" t="s">
        <v>171</v>
      </c>
      <c r="D58" s="169">
        <v>36</v>
      </c>
      <c r="E58" s="169">
        <v>43</v>
      </c>
      <c r="F58" s="169">
        <v>35.9</v>
      </c>
      <c r="G58" s="169">
        <v>41.1</v>
      </c>
    </row>
    <row r="59" spans="2:9" x14ac:dyDescent="0.2">
      <c r="B59" s="160" t="s">
        <v>226</v>
      </c>
      <c r="C59" s="160" t="s">
        <v>171</v>
      </c>
      <c r="D59" s="169" t="s">
        <v>227</v>
      </c>
      <c r="E59" s="169" t="s">
        <v>227</v>
      </c>
      <c r="F59" s="169">
        <v>32.700000000000003</v>
      </c>
      <c r="G59" s="169">
        <v>46.2</v>
      </c>
    </row>
    <row r="60" spans="2:9" ht="25.5" x14ac:dyDescent="0.2">
      <c r="B60" s="163" t="s">
        <v>228</v>
      </c>
      <c r="C60" s="160" t="s">
        <v>171</v>
      </c>
      <c r="D60" s="169" t="s">
        <v>227</v>
      </c>
      <c r="E60" s="169" t="s">
        <v>227</v>
      </c>
      <c r="F60" s="169">
        <v>35.700000000000003</v>
      </c>
      <c r="G60" s="169">
        <v>41.4</v>
      </c>
    </row>
    <row r="61" spans="2:9" x14ac:dyDescent="0.2">
      <c r="B61" s="160" t="s">
        <v>229</v>
      </c>
      <c r="C61" s="160" t="s">
        <v>174</v>
      </c>
      <c r="D61" s="169" t="s">
        <v>227</v>
      </c>
      <c r="E61" s="169" t="s">
        <v>227</v>
      </c>
      <c r="F61" s="169">
        <v>45.3</v>
      </c>
      <c r="G61" s="169">
        <v>51.8</v>
      </c>
    </row>
    <row r="62" spans="2:9" x14ac:dyDescent="0.2">
      <c r="B62" s="160" t="s">
        <v>230</v>
      </c>
      <c r="C62" s="160" t="s">
        <v>171</v>
      </c>
      <c r="D62" s="169" t="s">
        <v>227</v>
      </c>
      <c r="E62" s="169" t="s">
        <v>227</v>
      </c>
      <c r="F62" s="169">
        <v>25.1</v>
      </c>
      <c r="G62" s="169">
        <v>28.9</v>
      </c>
    </row>
    <row r="63" spans="2:9" x14ac:dyDescent="0.2">
      <c r="B63" s="160" t="s">
        <v>173</v>
      </c>
      <c r="C63" s="160" t="s">
        <v>174</v>
      </c>
      <c r="D63" s="169">
        <v>44</v>
      </c>
      <c r="E63" s="169">
        <v>51</v>
      </c>
      <c r="F63" s="169">
        <v>42.8</v>
      </c>
      <c r="G63" s="169">
        <v>49</v>
      </c>
    </row>
    <row r="64" spans="2:9" ht="38.25" x14ac:dyDescent="0.2">
      <c r="B64" s="163" t="s">
        <v>231</v>
      </c>
      <c r="C64" s="160" t="s">
        <v>174</v>
      </c>
      <c r="D64" s="169">
        <v>40</v>
      </c>
      <c r="E64" s="169">
        <v>44</v>
      </c>
      <c r="F64" s="169">
        <v>40.4</v>
      </c>
      <c r="G64" s="169">
        <v>45.5</v>
      </c>
    </row>
    <row r="65" spans="2:7" ht="25.5" x14ac:dyDescent="0.2">
      <c r="B65" s="163" t="s">
        <v>232</v>
      </c>
      <c r="C65" s="160" t="s">
        <v>178</v>
      </c>
      <c r="D65" s="169">
        <v>3.6</v>
      </c>
      <c r="E65" s="169" t="s">
        <v>227</v>
      </c>
      <c r="F65" s="169">
        <v>3.6</v>
      </c>
      <c r="G65" s="169">
        <v>10.8</v>
      </c>
    </row>
    <row r="66" spans="2:7" ht="25.5" x14ac:dyDescent="0.2">
      <c r="B66" s="163" t="s">
        <v>233</v>
      </c>
      <c r="C66" s="160" t="s">
        <v>178</v>
      </c>
      <c r="D66" s="169">
        <v>3.6</v>
      </c>
      <c r="E66" s="169" t="s">
        <v>227</v>
      </c>
      <c r="F66" s="169">
        <v>3.6</v>
      </c>
      <c r="G66" s="169">
        <v>3.8</v>
      </c>
    </row>
    <row r="67" spans="2:7" x14ac:dyDescent="0.2">
      <c r="B67" s="160"/>
      <c r="C67" s="160"/>
      <c r="D67" s="169"/>
      <c r="E67" s="169"/>
      <c r="F67" s="169"/>
      <c r="G67" s="169"/>
    </row>
    <row r="68" spans="2:7" x14ac:dyDescent="0.2">
      <c r="B68" s="160" t="s">
        <v>234</v>
      </c>
      <c r="C68" s="160"/>
      <c r="D68" s="169"/>
      <c r="E68" s="169"/>
      <c r="F68" s="169"/>
      <c r="G68" s="169"/>
    </row>
    <row r="69" spans="2:7" x14ac:dyDescent="0.2">
      <c r="B69" s="160"/>
      <c r="C69" s="160"/>
      <c r="D69" s="169"/>
      <c r="E69" s="169"/>
      <c r="F69" s="169"/>
      <c r="G69" s="169"/>
    </row>
    <row r="70" spans="2:7" ht="26.25" x14ac:dyDescent="0.25">
      <c r="B70" s="163" t="s">
        <v>225</v>
      </c>
      <c r="C70" s="160" t="s">
        <v>235</v>
      </c>
      <c r="D70" s="169">
        <v>2.7</v>
      </c>
      <c r="E70" s="169">
        <v>2.9</v>
      </c>
      <c r="F70" s="169">
        <v>2.68</v>
      </c>
      <c r="G70" s="169">
        <v>3.01</v>
      </c>
    </row>
    <row r="71" spans="2:7" ht="15" x14ac:dyDescent="0.25">
      <c r="B71" s="160" t="s">
        <v>226</v>
      </c>
      <c r="C71" s="160" t="s">
        <v>235</v>
      </c>
      <c r="D71" s="169">
        <v>0</v>
      </c>
      <c r="E71" s="169">
        <v>1.9</v>
      </c>
      <c r="F71" s="169">
        <v>0</v>
      </c>
      <c r="G71" s="169">
        <v>2.06</v>
      </c>
    </row>
    <row r="72" spans="2:7" ht="26.25" x14ac:dyDescent="0.25">
      <c r="B72" s="164" t="s">
        <v>228</v>
      </c>
      <c r="C72" s="160" t="s">
        <v>235</v>
      </c>
      <c r="D72" s="169" t="s">
        <v>227</v>
      </c>
      <c r="E72" s="169" t="s">
        <v>227</v>
      </c>
      <c r="F72" s="169">
        <v>2.5</v>
      </c>
      <c r="G72" s="169">
        <v>2.94</v>
      </c>
    </row>
    <row r="73" spans="2:7" ht="15" x14ac:dyDescent="0.25">
      <c r="B73" s="160" t="s">
        <v>229</v>
      </c>
      <c r="C73" s="160" t="s">
        <v>235</v>
      </c>
      <c r="D73" s="169" t="s">
        <v>227</v>
      </c>
      <c r="E73" s="169" t="s">
        <v>227</v>
      </c>
      <c r="F73" s="169">
        <v>2.5299999999999998</v>
      </c>
      <c r="G73" s="169">
        <v>3.13</v>
      </c>
    </row>
    <row r="74" spans="2:7" ht="15" x14ac:dyDescent="0.25">
      <c r="B74" s="160" t="s">
        <v>230</v>
      </c>
      <c r="C74" s="160" t="s">
        <v>235</v>
      </c>
      <c r="D74" s="169" t="s">
        <v>227</v>
      </c>
      <c r="E74" s="169" t="s">
        <v>227</v>
      </c>
      <c r="F74" s="169">
        <v>1.61</v>
      </c>
      <c r="G74" s="169">
        <v>1.9</v>
      </c>
    </row>
    <row r="75" spans="2:7" ht="15" x14ac:dyDescent="0.25">
      <c r="B75" s="160" t="s">
        <v>173</v>
      </c>
      <c r="C75" s="160" t="s">
        <v>235</v>
      </c>
      <c r="D75" s="169">
        <v>3.3</v>
      </c>
      <c r="E75" s="169">
        <v>3.5</v>
      </c>
      <c r="F75" s="169">
        <v>3.18</v>
      </c>
      <c r="G75" s="169">
        <v>3.59</v>
      </c>
    </row>
    <row r="76" spans="2:7" ht="39" x14ac:dyDescent="0.25">
      <c r="B76" s="163" t="s">
        <v>231</v>
      </c>
      <c r="C76" s="160" t="s">
        <v>235</v>
      </c>
      <c r="D76" s="169">
        <v>3.1</v>
      </c>
      <c r="E76" s="169">
        <v>3.5</v>
      </c>
      <c r="F76" s="169">
        <v>3.15</v>
      </c>
      <c r="G76" s="169">
        <v>3.39</v>
      </c>
    </row>
    <row r="77" spans="2:7" ht="26.25" x14ac:dyDescent="0.25">
      <c r="B77" s="163" t="s">
        <v>232</v>
      </c>
      <c r="C77" s="160" t="s">
        <v>235</v>
      </c>
      <c r="D77" s="169">
        <v>0</v>
      </c>
      <c r="E77" s="169" t="s">
        <v>227</v>
      </c>
      <c r="F77" s="169">
        <v>0</v>
      </c>
      <c r="G77" s="169">
        <v>0.57400000000000007</v>
      </c>
    </row>
    <row r="78" spans="2:7" ht="26.25" x14ac:dyDescent="0.25">
      <c r="B78" s="163" t="s">
        <v>233</v>
      </c>
      <c r="C78" s="160" t="s">
        <v>235</v>
      </c>
      <c r="D78" s="169">
        <v>0</v>
      </c>
      <c r="E78" s="169" t="s">
        <v>227</v>
      </c>
      <c r="F78" s="169">
        <v>0</v>
      </c>
      <c r="G78" s="169">
        <v>4.0000000000000001E-3</v>
      </c>
    </row>
  </sheetData>
  <sheetProtection selectLockedCells="1" selectUnlockedCells="1"/>
  <mergeCells count="19">
    <mergeCell ref="B51:F51"/>
    <mergeCell ref="B52:F52"/>
    <mergeCell ref="B53:F53"/>
    <mergeCell ref="B54:F54"/>
    <mergeCell ref="B56:C57"/>
    <mergeCell ref="D56:E56"/>
    <mergeCell ref="F56:G56"/>
    <mergeCell ref="B45:F45"/>
    <mergeCell ref="B46:F46"/>
    <mergeCell ref="B47:F47"/>
    <mergeCell ref="B48:F48"/>
    <mergeCell ref="B49:F49"/>
    <mergeCell ref="B50:F50"/>
    <mergeCell ref="B1:I1"/>
    <mergeCell ref="D2:F2"/>
    <mergeCell ref="G2:I2"/>
    <mergeCell ref="B16:I16"/>
    <mergeCell ref="B30:I30"/>
    <mergeCell ref="B44:F44"/>
  </mergeCells>
  <pageMargins left="0.78749999999999998" right="0.78749999999999998" top="1.0527777777777778" bottom="1.0527777777777778" header="0.78749999999999998" footer="0.78749999999999998"/>
  <pageSetup paperSize="9" scale="57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78"/>
  <sheetViews>
    <sheetView workbookViewId="0">
      <selection activeCell="E14" sqref="E14"/>
    </sheetView>
  </sheetViews>
  <sheetFormatPr baseColWidth="10" defaultColWidth="11.5703125" defaultRowHeight="12.75" x14ac:dyDescent="0.2"/>
  <cols>
    <col min="1" max="5" width="11.5703125" style="159" customWidth="1"/>
    <col min="6" max="6" width="3.85546875" style="159" customWidth="1"/>
    <col min="7" max="7" width="11.5703125" style="159" customWidth="1"/>
    <col min="8" max="8" width="3.42578125" style="159" customWidth="1"/>
    <col min="9" max="256" width="11.5703125" style="159"/>
    <col min="257" max="261" width="11.5703125" style="159" customWidth="1"/>
    <col min="262" max="262" width="3.85546875" style="159" customWidth="1"/>
    <col min="263" max="263" width="11.5703125" style="159" customWidth="1"/>
    <col min="264" max="264" width="3.42578125" style="159" customWidth="1"/>
    <col min="265" max="512" width="11.5703125" style="159"/>
    <col min="513" max="517" width="11.5703125" style="159" customWidth="1"/>
    <col min="518" max="518" width="3.85546875" style="159" customWidth="1"/>
    <col min="519" max="519" width="11.5703125" style="159" customWidth="1"/>
    <col min="520" max="520" width="3.42578125" style="159" customWidth="1"/>
    <col min="521" max="768" width="11.5703125" style="159"/>
    <col min="769" max="773" width="11.5703125" style="159" customWidth="1"/>
    <col min="774" max="774" width="3.85546875" style="159" customWidth="1"/>
    <col min="775" max="775" width="11.5703125" style="159" customWidth="1"/>
    <col min="776" max="776" width="3.42578125" style="159" customWidth="1"/>
    <col min="777" max="1024" width="11.5703125" style="159"/>
    <col min="1025" max="1029" width="11.5703125" style="159" customWidth="1"/>
    <col min="1030" max="1030" width="3.85546875" style="159" customWidth="1"/>
    <col min="1031" max="1031" width="11.5703125" style="159" customWidth="1"/>
    <col min="1032" max="1032" width="3.42578125" style="159" customWidth="1"/>
    <col min="1033" max="1280" width="11.5703125" style="159"/>
    <col min="1281" max="1285" width="11.5703125" style="159" customWidth="1"/>
    <col min="1286" max="1286" width="3.85546875" style="159" customWidth="1"/>
    <col min="1287" max="1287" width="11.5703125" style="159" customWidth="1"/>
    <col min="1288" max="1288" width="3.42578125" style="159" customWidth="1"/>
    <col min="1289" max="1536" width="11.5703125" style="159"/>
    <col min="1537" max="1541" width="11.5703125" style="159" customWidth="1"/>
    <col min="1542" max="1542" width="3.85546875" style="159" customWidth="1"/>
    <col min="1543" max="1543" width="11.5703125" style="159" customWidth="1"/>
    <col min="1544" max="1544" width="3.42578125" style="159" customWidth="1"/>
    <col min="1545" max="1792" width="11.5703125" style="159"/>
    <col min="1793" max="1797" width="11.5703125" style="159" customWidth="1"/>
    <col min="1798" max="1798" width="3.85546875" style="159" customWidth="1"/>
    <col min="1799" max="1799" width="11.5703125" style="159" customWidth="1"/>
    <col min="1800" max="1800" width="3.42578125" style="159" customWidth="1"/>
    <col min="1801" max="2048" width="11.5703125" style="159"/>
    <col min="2049" max="2053" width="11.5703125" style="159" customWidth="1"/>
    <col min="2054" max="2054" width="3.85546875" style="159" customWidth="1"/>
    <col min="2055" max="2055" width="11.5703125" style="159" customWidth="1"/>
    <col min="2056" max="2056" width="3.42578125" style="159" customWidth="1"/>
    <col min="2057" max="2304" width="11.5703125" style="159"/>
    <col min="2305" max="2309" width="11.5703125" style="159" customWidth="1"/>
    <col min="2310" max="2310" width="3.85546875" style="159" customWidth="1"/>
    <col min="2311" max="2311" width="11.5703125" style="159" customWidth="1"/>
    <col min="2312" max="2312" width="3.42578125" style="159" customWidth="1"/>
    <col min="2313" max="2560" width="11.5703125" style="159"/>
    <col min="2561" max="2565" width="11.5703125" style="159" customWidth="1"/>
    <col min="2566" max="2566" width="3.85546875" style="159" customWidth="1"/>
    <col min="2567" max="2567" width="11.5703125" style="159" customWidth="1"/>
    <col min="2568" max="2568" width="3.42578125" style="159" customWidth="1"/>
    <col min="2569" max="2816" width="11.5703125" style="159"/>
    <col min="2817" max="2821" width="11.5703125" style="159" customWidth="1"/>
    <col min="2822" max="2822" width="3.85546875" style="159" customWidth="1"/>
    <col min="2823" max="2823" width="11.5703125" style="159" customWidth="1"/>
    <col min="2824" max="2824" width="3.42578125" style="159" customWidth="1"/>
    <col min="2825" max="3072" width="11.5703125" style="159"/>
    <col min="3073" max="3077" width="11.5703125" style="159" customWidth="1"/>
    <col min="3078" max="3078" width="3.85546875" style="159" customWidth="1"/>
    <col min="3079" max="3079" width="11.5703125" style="159" customWidth="1"/>
    <col min="3080" max="3080" width="3.42578125" style="159" customWidth="1"/>
    <col min="3081" max="3328" width="11.5703125" style="159"/>
    <col min="3329" max="3333" width="11.5703125" style="159" customWidth="1"/>
    <col min="3334" max="3334" width="3.85546875" style="159" customWidth="1"/>
    <col min="3335" max="3335" width="11.5703125" style="159" customWidth="1"/>
    <col min="3336" max="3336" width="3.42578125" style="159" customWidth="1"/>
    <col min="3337" max="3584" width="11.5703125" style="159"/>
    <col min="3585" max="3589" width="11.5703125" style="159" customWidth="1"/>
    <col min="3590" max="3590" width="3.85546875" style="159" customWidth="1"/>
    <col min="3591" max="3591" width="11.5703125" style="159" customWidth="1"/>
    <col min="3592" max="3592" width="3.42578125" style="159" customWidth="1"/>
    <col min="3593" max="3840" width="11.5703125" style="159"/>
    <col min="3841" max="3845" width="11.5703125" style="159" customWidth="1"/>
    <col min="3846" max="3846" width="3.85546875" style="159" customWidth="1"/>
    <col min="3847" max="3847" width="11.5703125" style="159" customWidth="1"/>
    <col min="3848" max="3848" width="3.42578125" style="159" customWidth="1"/>
    <col min="3849" max="4096" width="11.5703125" style="159"/>
    <col min="4097" max="4101" width="11.5703125" style="159" customWidth="1"/>
    <col min="4102" max="4102" width="3.85546875" style="159" customWidth="1"/>
    <col min="4103" max="4103" width="11.5703125" style="159" customWidth="1"/>
    <col min="4104" max="4104" width="3.42578125" style="159" customWidth="1"/>
    <col min="4105" max="4352" width="11.5703125" style="159"/>
    <col min="4353" max="4357" width="11.5703125" style="159" customWidth="1"/>
    <col min="4358" max="4358" width="3.85546875" style="159" customWidth="1"/>
    <col min="4359" max="4359" width="11.5703125" style="159" customWidth="1"/>
    <col min="4360" max="4360" width="3.42578125" style="159" customWidth="1"/>
    <col min="4361" max="4608" width="11.5703125" style="159"/>
    <col min="4609" max="4613" width="11.5703125" style="159" customWidth="1"/>
    <col min="4614" max="4614" width="3.85546875" style="159" customWidth="1"/>
    <col min="4615" max="4615" width="11.5703125" style="159" customWidth="1"/>
    <col min="4616" max="4616" width="3.42578125" style="159" customWidth="1"/>
    <col min="4617" max="4864" width="11.5703125" style="159"/>
    <col min="4865" max="4869" width="11.5703125" style="159" customWidth="1"/>
    <col min="4870" max="4870" width="3.85546875" style="159" customWidth="1"/>
    <col min="4871" max="4871" width="11.5703125" style="159" customWidth="1"/>
    <col min="4872" max="4872" width="3.42578125" style="159" customWidth="1"/>
    <col min="4873" max="5120" width="11.5703125" style="159"/>
    <col min="5121" max="5125" width="11.5703125" style="159" customWidth="1"/>
    <col min="5126" max="5126" width="3.85546875" style="159" customWidth="1"/>
    <col min="5127" max="5127" width="11.5703125" style="159" customWidth="1"/>
    <col min="5128" max="5128" width="3.42578125" style="159" customWidth="1"/>
    <col min="5129" max="5376" width="11.5703125" style="159"/>
    <col min="5377" max="5381" width="11.5703125" style="159" customWidth="1"/>
    <col min="5382" max="5382" width="3.85546875" style="159" customWidth="1"/>
    <col min="5383" max="5383" width="11.5703125" style="159" customWidth="1"/>
    <col min="5384" max="5384" width="3.42578125" style="159" customWidth="1"/>
    <col min="5385" max="5632" width="11.5703125" style="159"/>
    <col min="5633" max="5637" width="11.5703125" style="159" customWidth="1"/>
    <col min="5638" max="5638" width="3.85546875" style="159" customWidth="1"/>
    <col min="5639" max="5639" width="11.5703125" style="159" customWidth="1"/>
    <col min="5640" max="5640" width="3.42578125" style="159" customWidth="1"/>
    <col min="5641" max="5888" width="11.5703125" style="159"/>
    <col min="5889" max="5893" width="11.5703125" style="159" customWidth="1"/>
    <col min="5894" max="5894" width="3.85546875" style="159" customWidth="1"/>
    <col min="5895" max="5895" width="11.5703125" style="159" customWidth="1"/>
    <col min="5896" max="5896" width="3.42578125" style="159" customWidth="1"/>
    <col min="5897" max="6144" width="11.5703125" style="159"/>
    <col min="6145" max="6149" width="11.5703125" style="159" customWidth="1"/>
    <col min="6150" max="6150" width="3.85546875" style="159" customWidth="1"/>
    <col min="6151" max="6151" width="11.5703125" style="159" customWidth="1"/>
    <col min="6152" max="6152" width="3.42578125" style="159" customWidth="1"/>
    <col min="6153" max="6400" width="11.5703125" style="159"/>
    <col min="6401" max="6405" width="11.5703125" style="159" customWidth="1"/>
    <col min="6406" max="6406" width="3.85546875" style="159" customWidth="1"/>
    <col min="6407" max="6407" width="11.5703125" style="159" customWidth="1"/>
    <col min="6408" max="6408" width="3.42578125" style="159" customWidth="1"/>
    <col min="6409" max="6656" width="11.5703125" style="159"/>
    <col min="6657" max="6661" width="11.5703125" style="159" customWidth="1"/>
    <col min="6662" max="6662" width="3.85546875" style="159" customWidth="1"/>
    <col min="6663" max="6663" width="11.5703125" style="159" customWidth="1"/>
    <col min="6664" max="6664" width="3.42578125" style="159" customWidth="1"/>
    <col min="6665" max="6912" width="11.5703125" style="159"/>
    <col min="6913" max="6917" width="11.5703125" style="159" customWidth="1"/>
    <col min="6918" max="6918" width="3.85546875" style="159" customWidth="1"/>
    <col min="6919" max="6919" width="11.5703125" style="159" customWidth="1"/>
    <col min="6920" max="6920" width="3.42578125" style="159" customWidth="1"/>
    <col min="6921" max="7168" width="11.5703125" style="159"/>
    <col min="7169" max="7173" width="11.5703125" style="159" customWidth="1"/>
    <col min="7174" max="7174" width="3.85546875" style="159" customWidth="1"/>
    <col min="7175" max="7175" width="11.5703125" style="159" customWidth="1"/>
    <col min="7176" max="7176" width="3.42578125" style="159" customWidth="1"/>
    <col min="7177" max="7424" width="11.5703125" style="159"/>
    <col min="7425" max="7429" width="11.5703125" style="159" customWidth="1"/>
    <col min="7430" max="7430" width="3.85546875" style="159" customWidth="1"/>
    <col min="7431" max="7431" width="11.5703125" style="159" customWidth="1"/>
    <col min="7432" max="7432" width="3.42578125" style="159" customWidth="1"/>
    <col min="7433" max="7680" width="11.5703125" style="159"/>
    <col min="7681" max="7685" width="11.5703125" style="159" customWidth="1"/>
    <col min="7686" max="7686" width="3.85546875" style="159" customWidth="1"/>
    <col min="7687" max="7687" width="11.5703125" style="159" customWidth="1"/>
    <col min="7688" max="7688" width="3.42578125" style="159" customWidth="1"/>
    <col min="7689" max="7936" width="11.5703125" style="159"/>
    <col min="7937" max="7941" width="11.5703125" style="159" customWidth="1"/>
    <col min="7942" max="7942" width="3.85546875" style="159" customWidth="1"/>
    <col min="7943" max="7943" width="11.5703125" style="159" customWidth="1"/>
    <col min="7944" max="7944" width="3.42578125" style="159" customWidth="1"/>
    <col min="7945" max="8192" width="11.5703125" style="159"/>
    <col min="8193" max="8197" width="11.5703125" style="159" customWidth="1"/>
    <col min="8198" max="8198" width="3.85546875" style="159" customWidth="1"/>
    <col min="8199" max="8199" width="11.5703125" style="159" customWidth="1"/>
    <col min="8200" max="8200" width="3.42578125" style="159" customWidth="1"/>
    <col min="8201" max="8448" width="11.5703125" style="159"/>
    <col min="8449" max="8453" width="11.5703125" style="159" customWidth="1"/>
    <col min="8454" max="8454" width="3.85546875" style="159" customWidth="1"/>
    <col min="8455" max="8455" width="11.5703125" style="159" customWidth="1"/>
    <col min="8456" max="8456" width="3.42578125" style="159" customWidth="1"/>
    <col min="8457" max="8704" width="11.5703125" style="159"/>
    <col min="8705" max="8709" width="11.5703125" style="159" customWidth="1"/>
    <col min="8710" max="8710" width="3.85546875" style="159" customWidth="1"/>
    <col min="8711" max="8711" width="11.5703125" style="159" customWidth="1"/>
    <col min="8712" max="8712" width="3.42578125" style="159" customWidth="1"/>
    <col min="8713" max="8960" width="11.5703125" style="159"/>
    <col min="8961" max="8965" width="11.5703125" style="159" customWidth="1"/>
    <col min="8966" max="8966" width="3.85546875" style="159" customWidth="1"/>
    <col min="8967" max="8967" width="11.5703125" style="159" customWidth="1"/>
    <col min="8968" max="8968" width="3.42578125" style="159" customWidth="1"/>
    <col min="8969" max="9216" width="11.5703125" style="159"/>
    <col min="9217" max="9221" width="11.5703125" style="159" customWidth="1"/>
    <col min="9222" max="9222" width="3.85546875" style="159" customWidth="1"/>
    <col min="9223" max="9223" width="11.5703125" style="159" customWidth="1"/>
    <col min="9224" max="9224" width="3.42578125" style="159" customWidth="1"/>
    <col min="9225" max="9472" width="11.5703125" style="159"/>
    <col min="9473" max="9477" width="11.5703125" style="159" customWidth="1"/>
    <col min="9478" max="9478" width="3.85546875" style="159" customWidth="1"/>
    <col min="9479" max="9479" width="11.5703125" style="159" customWidth="1"/>
    <col min="9480" max="9480" width="3.42578125" style="159" customWidth="1"/>
    <col min="9481" max="9728" width="11.5703125" style="159"/>
    <col min="9729" max="9733" width="11.5703125" style="159" customWidth="1"/>
    <col min="9734" max="9734" width="3.85546875" style="159" customWidth="1"/>
    <col min="9735" max="9735" width="11.5703125" style="159" customWidth="1"/>
    <col min="9736" max="9736" width="3.42578125" style="159" customWidth="1"/>
    <col min="9737" max="9984" width="11.5703125" style="159"/>
    <col min="9985" max="9989" width="11.5703125" style="159" customWidth="1"/>
    <col min="9990" max="9990" width="3.85546875" style="159" customWidth="1"/>
    <col min="9991" max="9991" width="11.5703125" style="159" customWidth="1"/>
    <col min="9992" max="9992" width="3.42578125" style="159" customWidth="1"/>
    <col min="9993" max="10240" width="11.5703125" style="159"/>
    <col min="10241" max="10245" width="11.5703125" style="159" customWidth="1"/>
    <col min="10246" max="10246" width="3.85546875" style="159" customWidth="1"/>
    <col min="10247" max="10247" width="11.5703125" style="159" customWidth="1"/>
    <col min="10248" max="10248" width="3.42578125" style="159" customWidth="1"/>
    <col min="10249" max="10496" width="11.5703125" style="159"/>
    <col min="10497" max="10501" width="11.5703125" style="159" customWidth="1"/>
    <col min="10502" max="10502" width="3.85546875" style="159" customWidth="1"/>
    <col min="10503" max="10503" width="11.5703125" style="159" customWidth="1"/>
    <col min="10504" max="10504" width="3.42578125" style="159" customWidth="1"/>
    <col min="10505" max="10752" width="11.5703125" style="159"/>
    <col min="10753" max="10757" width="11.5703125" style="159" customWidth="1"/>
    <col min="10758" max="10758" width="3.85546875" style="159" customWidth="1"/>
    <col min="10759" max="10759" width="11.5703125" style="159" customWidth="1"/>
    <col min="10760" max="10760" width="3.42578125" style="159" customWidth="1"/>
    <col min="10761" max="11008" width="11.5703125" style="159"/>
    <col min="11009" max="11013" width="11.5703125" style="159" customWidth="1"/>
    <col min="11014" max="11014" width="3.85546875" style="159" customWidth="1"/>
    <col min="11015" max="11015" width="11.5703125" style="159" customWidth="1"/>
    <col min="11016" max="11016" width="3.42578125" style="159" customWidth="1"/>
    <col min="11017" max="11264" width="11.5703125" style="159"/>
    <col min="11265" max="11269" width="11.5703125" style="159" customWidth="1"/>
    <col min="11270" max="11270" width="3.85546875" style="159" customWidth="1"/>
    <col min="11271" max="11271" width="11.5703125" style="159" customWidth="1"/>
    <col min="11272" max="11272" width="3.42578125" style="159" customWidth="1"/>
    <col min="11273" max="11520" width="11.5703125" style="159"/>
    <col min="11521" max="11525" width="11.5703125" style="159" customWidth="1"/>
    <col min="11526" max="11526" width="3.85546875" style="159" customWidth="1"/>
    <col min="11527" max="11527" width="11.5703125" style="159" customWidth="1"/>
    <col min="11528" max="11528" width="3.42578125" style="159" customWidth="1"/>
    <col min="11529" max="11776" width="11.5703125" style="159"/>
    <col min="11777" max="11781" width="11.5703125" style="159" customWidth="1"/>
    <col min="11782" max="11782" width="3.85546875" style="159" customWidth="1"/>
    <col min="11783" max="11783" width="11.5703125" style="159" customWidth="1"/>
    <col min="11784" max="11784" width="3.42578125" style="159" customWidth="1"/>
    <col min="11785" max="12032" width="11.5703125" style="159"/>
    <col min="12033" max="12037" width="11.5703125" style="159" customWidth="1"/>
    <col min="12038" max="12038" width="3.85546875" style="159" customWidth="1"/>
    <col min="12039" max="12039" width="11.5703125" style="159" customWidth="1"/>
    <col min="12040" max="12040" width="3.42578125" style="159" customWidth="1"/>
    <col min="12041" max="12288" width="11.5703125" style="159"/>
    <col min="12289" max="12293" width="11.5703125" style="159" customWidth="1"/>
    <col min="12294" max="12294" width="3.85546875" style="159" customWidth="1"/>
    <col min="12295" max="12295" width="11.5703125" style="159" customWidth="1"/>
    <col min="12296" max="12296" width="3.42578125" style="159" customWidth="1"/>
    <col min="12297" max="12544" width="11.5703125" style="159"/>
    <col min="12545" max="12549" width="11.5703125" style="159" customWidth="1"/>
    <col min="12550" max="12550" width="3.85546875" style="159" customWidth="1"/>
    <col min="12551" max="12551" width="11.5703125" style="159" customWidth="1"/>
    <col min="12552" max="12552" width="3.42578125" style="159" customWidth="1"/>
    <col min="12553" max="12800" width="11.5703125" style="159"/>
    <col min="12801" max="12805" width="11.5703125" style="159" customWidth="1"/>
    <col min="12806" max="12806" width="3.85546875" style="159" customWidth="1"/>
    <col min="12807" max="12807" width="11.5703125" style="159" customWidth="1"/>
    <col min="12808" max="12808" width="3.42578125" style="159" customWidth="1"/>
    <col min="12809" max="13056" width="11.5703125" style="159"/>
    <col min="13057" max="13061" width="11.5703125" style="159" customWidth="1"/>
    <col min="13062" max="13062" width="3.85546875" style="159" customWidth="1"/>
    <col min="13063" max="13063" width="11.5703125" style="159" customWidth="1"/>
    <col min="13064" max="13064" width="3.42578125" style="159" customWidth="1"/>
    <col min="13065" max="13312" width="11.5703125" style="159"/>
    <col min="13313" max="13317" width="11.5703125" style="159" customWidth="1"/>
    <col min="13318" max="13318" width="3.85546875" style="159" customWidth="1"/>
    <col min="13319" max="13319" width="11.5703125" style="159" customWidth="1"/>
    <col min="13320" max="13320" width="3.42578125" style="159" customWidth="1"/>
    <col min="13321" max="13568" width="11.5703125" style="159"/>
    <col min="13569" max="13573" width="11.5703125" style="159" customWidth="1"/>
    <col min="13574" max="13574" width="3.85546875" style="159" customWidth="1"/>
    <col min="13575" max="13575" width="11.5703125" style="159" customWidth="1"/>
    <col min="13576" max="13576" width="3.42578125" style="159" customWidth="1"/>
    <col min="13577" max="13824" width="11.5703125" style="159"/>
    <col min="13825" max="13829" width="11.5703125" style="159" customWidth="1"/>
    <col min="13830" max="13830" width="3.85546875" style="159" customWidth="1"/>
    <col min="13831" max="13831" width="11.5703125" style="159" customWidth="1"/>
    <col min="13832" max="13832" width="3.42578125" style="159" customWidth="1"/>
    <col min="13833" max="14080" width="11.5703125" style="159"/>
    <col min="14081" max="14085" width="11.5703125" style="159" customWidth="1"/>
    <col min="14086" max="14086" width="3.85546875" style="159" customWidth="1"/>
    <col min="14087" max="14087" width="11.5703125" style="159" customWidth="1"/>
    <col min="14088" max="14088" width="3.42578125" style="159" customWidth="1"/>
    <col min="14089" max="14336" width="11.5703125" style="159"/>
    <col min="14337" max="14341" width="11.5703125" style="159" customWidth="1"/>
    <col min="14342" max="14342" width="3.85546875" style="159" customWidth="1"/>
    <col min="14343" max="14343" width="11.5703125" style="159" customWidth="1"/>
    <col min="14344" max="14344" width="3.42578125" style="159" customWidth="1"/>
    <col min="14345" max="14592" width="11.5703125" style="159"/>
    <col min="14593" max="14597" width="11.5703125" style="159" customWidth="1"/>
    <col min="14598" max="14598" width="3.85546875" style="159" customWidth="1"/>
    <col min="14599" max="14599" width="11.5703125" style="159" customWidth="1"/>
    <col min="14600" max="14600" width="3.42578125" style="159" customWidth="1"/>
    <col min="14601" max="14848" width="11.5703125" style="159"/>
    <col min="14849" max="14853" width="11.5703125" style="159" customWidth="1"/>
    <col min="14854" max="14854" width="3.85546875" style="159" customWidth="1"/>
    <col min="14855" max="14855" width="11.5703125" style="159" customWidth="1"/>
    <col min="14856" max="14856" width="3.42578125" style="159" customWidth="1"/>
    <col min="14857" max="15104" width="11.5703125" style="159"/>
    <col min="15105" max="15109" width="11.5703125" style="159" customWidth="1"/>
    <col min="15110" max="15110" width="3.85546875" style="159" customWidth="1"/>
    <col min="15111" max="15111" width="11.5703125" style="159" customWidth="1"/>
    <col min="15112" max="15112" width="3.42578125" style="159" customWidth="1"/>
    <col min="15113" max="15360" width="11.5703125" style="159"/>
    <col min="15361" max="15365" width="11.5703125" style="159" customWidth="1"/>
    <col min="15366" max="15366" width="3.85546875" style="159" customWidth="1"/>
    <col min="15367" max="15367" width="11.5703125" style="159" customWidth="1"/>
    <col min="15368" max="15368" width="3.42578125" style="159" customWidth="1"/>
    <col min="15369" max="15616" width="11.5703125" style="159"/>
    <col min="15617" max="15621" width="11.5703125" style="159" customWidth="1"/>
    <col min="15622" max="15622" width="3.85546875" style="159" customWidth="1"/>
    <col min="15623" max="15623" width="11.5703125" style="159" customWidth="1"/>
    <col min="15624" max="15624" width="3.42578125" style="159" customWidth="1"/>
    <col min="15625" max="15872" width="11.5703125" style="159"/>
    <col min="15873" max="15877" width="11.5703125" style="159" customWidth="1"/>
    <col min="15878" max="15878" width="3.85546875" style="159" customWidth="1"/>
    <col min="15879" max="15879" width="11.5703125" style="159" customWidth="1"/>
    <col min="15880" max="15880" width="3.42578125" style="159" customWidth="1"/>
    <col min="15881" max="16128" width="11.5703125" style="159"/>
    <col min="16129" max="16133" width="11.5703125" style="159" customWidth="1"/>
    <col min="16134" max="16134" width="3.85546875" style="159" customWidth="1"/>
    <col min="16135" max="16135" width="11.5703125" style="159" customWidth="1"/>
    <col min="16136" max="16136" width="3.42578125" style="159" customWidth="1"/>
    <col min="16137" max="16384" width="11.5703125" style="159"/>
  </cols>
  <sheetData>
    <row r="4" spans="1:10" x14ac:dyDescent="0.2">
      <c r="A4" s="182" t="s">
        <v>169</v>
      </c>
      <c r="B4" s="183" t="s">
        <v>236</v>
      </c>
    </row>
    <row r="5" spans="1:10" x14ac:dyDescent="0.2">
      <c r="A5" s="182"/>
    </row>
    <row r="6" spans="1:10" x14ac:dyDescent="0.2">
      <c r="A6" s="182"/>
    </row>
    <row r="7" spans="1:10" x14ac:dyDescent="0.2">
      <c r="A7" s="182"/>
      <c r="B7" s="159" t="s">
        <v>237</v>
      </c>
      <c r="E7" s="184">
        <v>80</v>
      </c>
    </row>
    <row r="8" spans="1:10" x14ac:dyDescent="0.2">
      <c r="A8" s="182"/>
    </row>
    <row r="9" spans="1:10" x14ac:dyDescent="0.2">
      <c r="A9" s="182"/>
      <c r="B9" s="159" t="s">
        <v>238</v>
      </c>
    </row>
    <row r="10" spans="1:10" x14ac:dyDescent="0.2">
      <c r="A10" s="182"/>
    </row>
    <row r="11" spans="1:10" x14ac:dyDescent="0.2">
      <c r="A11" s="182"/>
      <c r="B11" s="159" t="s">
        <v>239</v>
      </c>
      <c r="E11" s="159">
        <f>E7</f>
        <v>80</v>
      </c>
      <c r="F11" s="159" t="s">
        <v>152</v>
      </c>
      <c r="G11" s="159">
        <f>'Daten mobil'!E4</f>
        <v>35.700000000000003</v>
      </c>
      <c r="H11" s="159" t="s">
        <v>240</v>
      </c>
      <c r="I11" s="159">
        <f>E11*G11</f>
        <v>2856</v>
      </c>
      <c r="J11" s="159" t="s">
        <v>241</v>
      </c>
    </row>
    <row r="12" spans="1:10" x14ac:dyDescent="0.2">
      <c r="A12" s="182"/>
    </row>
    <row r="13" spans="1:10" x14ac:dyDescent="0.2">
      <c r="A13" s="182"/>
      <c r="B13" s="159" t="s">
        <v>242</v>
      </c>
    </row>
    <row r="14" spans="1:10" x14ac:dyDescent="0.2">
      <c r="A14" s="182"/>
    </row>
    <row r="15" spans="1:10" x14ac:dyDescent="0.2">
      <c r="A15" s="182"/>
      <c r="B15" s="185" t="s">
        <v>243</v>
      </c>
      <c r="E15" s="159">
        <f>E7</f>
        <v>80</v>
      </c>
      <c r="G15" s="159">
        <f>'Daten mobil'!F4</f>
        <v>41.4</v>
      </c>
      <c r="H15" s="159" t="s">
        <v>240</v>
      </c>
      <c r="I15" s="159">
        <f>E15*G15</f>
        <v>3312</v>
      </c>
      <c r="J15" s="159" t="s">
        <v>241</v>
      </c>
    </row>
    <row r="16" spans="1:10" x14ac:dyDescent="0.2">
      <c r="A16" s="182"/>
    </row>
    <row r="17" spans="1:11" x14ac:dyDescent="0.2">
      <c r="A17" s="182"/>
      <c r="B17" s="159" t="s">
        <v>244</v>
      </c>
    </row>
    <row r="18" spans="1:11" x14ac:dyDescent="0.2">
      <c r="A18" s="182"/>
    </row>
    <row r="19" spans="1:11" ht="25.5" x14ac:dyDescent="0.2">
      <c r="A19" s="182"/>
      <c r="B19" s="159" t="s">
        <v>245</v>
      </c>
      <c r="E19" s="159">
        <f>E7</f>
        <v>80</v>
      </c>
      <c r="G19" s="159">
        <f>'Daten mobil'!H4</f>
        <v>2.5</v>
      </c>
      <c r="H19" s="159" t="s">
        <v>240</v>
      </c>
      <c r="I19" s="159">
        <f>E19*G19</f>
        <v>200</v>
      </c>
      <c r="J19" s="159" t="s">
        <v>246</v>
      </c>
      <c r="K19" s="186" t="s">
        <v>167</v>
      </c>
    </row>
    <row r="20" spans="1:11" x14ac:dyDescent="0.2">
      <c r="A20" s="182"/>
      <c r="K20" s="165"/>
    </row>
    <row r="21" spans="1:11" ht="25.5" x14ac:dyDescent="0.2">
      <c r="A21" s="182"/>
      <c r="B21" s="159" t="s">
        <v>247</v>
      </c>
      <c r="E21" s="159">
        <f>E7</f>
        <v>80</v>
      </c>
      <c r="G21" s="159">
        <f>'Daten mobil'!I4</f>
        <v>2.94</v>
      </c>
      <c r="H21" s="159" t="s">
        <v>240</v>
      </c>
      <c r="I21" s="159">
        <f>E21*G21</f>
        <v>235.2</v>
      </c>
      <c r="J21" s="159" t="s">
        <v>246</v>
      </c>
      <c r="K21" s="187" t="s">
        <v>168</v>
      </c>
    </row>
    <row r="24" spans="1:11" x14ac:dyDescent="0.2">
      <c r="G24" s="188" t="s">
        <v>248</v>
      </c>
    </row>
    <row r="26" spans="1:11" ht="12.75" customHeight="1" x14ac:dyDescent="0.2">
      <c r="A26" s="182" t="s">
        <v>169</v>
      </c>
      <c r="B26" s="183" t="s">
        <v>249</v>
      </c>
    </row>
    <row r="27" spans="1:11" x14ac:dyDescent="0.2">
      <c r="A27" s="182"/>
    </row>
    <row r="28" spans="1:11" x14ac:dyDescent="0.2">
      <c r="A28" s="182"/>
      <c r="B28" s="159" t="s">
        <v>237</v>
      </c>
      <c r="E28" s="184">
        <v>80</v>
      </c>
      <c r="F28" s="159" t="s">
        <v>250</v>
      </c>
    </row>
    <row r="29" spans="1:11" x14ac:dyDescent="0.2">
      <c r="A29" s="182"/>
      <c r="B29" s="159" t="s">
        <v>251</v>
      </c>
      <c r="E29" s="184">
        <v>2</v>
      </c>
      <c r="F29" s="159" t="s">
        <v>252</v>
      </c>
    </row>
    <row r="30" spans="1:11" x14ac:dyDescent="0.2">
      <c r="A30" s="182"/>
      <c r="E30" s="189"/>
    </row>
    <row r="31" spans="1:11" x14ac:dyDescent="0.2">
      <c r="A31" s="182"/>
      <c r="B31" s="159" t="s">
        <v>253</v>
      </c>
      <c r="D31" s="190">
        <v>1</v>
      </c>
      <c r="E31" s="191">
        <f>E28</f>
        <v>80</v>
      </c>
      <c r="F31" s="159" t="s">
        <v>240</v>
      </c>
      <c r="G31" s="159">
        <f>(D31/D32)*E31</f>
        <v>40</v>
      </c>
    </row>
    <row r="32" spans="1:11" x14ac:dyDescent="0.2">
      <c r="A32" s="182"/>
      <c r="D32" s="159">
        <f>E29</f>
        <v>2</v>
      </c>
      <c r="E32" s="191"/>
    </row>
    <row r="33" spans="1:11" x14ac:dyDescent="0.2">
      <c r="A33" s="182"/>
    </row>
    <row r="34" spans="1:11" x14ac:dyDescent="0.2">
      <c r="A34" s="182"/>
      <c r="B34" s="159" t="s">
        <v>238</v>
      </c>
    </row>
    <row r="35" spans="1:11" x14ac:dyDescent="0.2">
      <c r="A35" s="182"/>
    </row>
    <row r="36" spans="1:11" x14ac:dyDescent="0.2">
      <c r="A36" s="182"/>
      <c r="B36" s="159" t="s">
        <v>239</v>
      </c>
      <c r="E36" s="159">
        <f>E28</f>
        <v>80</v>
      </c>
      <c r="F36" s="159" t="s">
        <v>152</v>
      </c>
      <c r="G36" s="159">
        <f>'Daten mobil'!E4</f>
        <v>35.700000000000003</v>
      </c>
      <c r="H36" s="159" t="s">
        <v>240</v>
      </c>
      <c r="I36" s="159">
        <f>E36*G36</f>
        <v>2856</v>
      </c>
      <c r="J36" s="159" t="s">
        <v>254</v>
      </c>
    </row>
    <row r="37" spans="1:11" x14ac:dyDescent="0.2">
      <c r="A37" s="182"/>
    </row>
    <row r="38" spans="1:11" x14ac:dyDescent="0.2">
      <c r="A38" s="182"/>
      <c r="B38" s="159" t="s">
        <v>242</v>
      </c>
    </row>
    <row r="39" spans="1:11" x14ac:dyDescent="0.2">
      <c r="A39" s="182"/>
    </row>
    <row r="40" spans="1:11" x14ac:dyDescent="0.2">
      <c r="A40" s="182"/>
      <c r="B40" s="185" t="s">
        <v>243</v>
      </c>
      <c r="E40" s="159">
        <f>E28</f>
        <v>80</v>
      </c>
      <c r="G40" s="159">
        <f>'Daten mobil'!F4</f>
        <v>41.4</v>
      </c>
      <c r="H40" s="159" t="s">
        <v>240</v>
      </c>
      <c r="I40" s="159">
        <f>E40*G40</f>
        <v>3312</v>
      </c>
      <c r="J40" s="159" t="s">
        <v>254</v>
      </c>
    </row>
    <row r="41" spans="1:11" x14ac:dyDescent="0.2">
      <c r="A41" s="182"/>
    </row>
    <row r="42" spans="1:11" x14ac:dyDescent="0.2">
      <c r="A42" s="182"/>
      <c r="B42" s="159" t="s">
        <v>244</v>
      </c>
    </row>
    <row r="43" spans="1:11" x14ac:dyDescent="0.2">
      <c r="A43" s="182"/>
    </row>
    <row r="44" spans="1:11" ht="25.5" x14ac:dyDescent="0.2">
      <c r="A44" s="182"/>
      <c r="B44" s="159" t="s">
        <v>245</v>
      </c>
      <c r="E44" s="159">
        <f>E28</f>
        <v>80</v>
      </c>
      <c r="G44" s="159">
        <f>'Daten mobil'!H4</f>
        <v>2.5</v>
      </c>
      <c r="H44" s="159" t="s">
        <v>240</v>
      </c>
      <c r="I44" s="159">
        <f>E44*G44</f>
        <v>200</v>
      </c>
      <c r="J44" s="192" t="s">
        <v>255</v>
      </c>
      <c r="K44" s="186" t="s">
        <v>167</v>
      </c>
    </row>
    <row r="45" spans="1:11" x14ac:dyDescent="0.2">
      <c r="A45" s="182"/>
      <c r="K45" s="165"/>
    </row>
    <row r="46" spans="1:11" ht="25.5" x14ac:dyDescent="0.2">
      <c r="A46" s="182"/>
      <c r="B46" s="159" t="s">
        <v>247</v>
      </c>
      <c r="E46" s="159">
        <f>E28</f>
        <v>80</v>
      </c>
      <c r="G46" s="159">
        <f>'Daten mobil'!I4</f>
        <v>2.94</v>
      </c>
      <c r="H46" s="159" t="s">
        <v>240</v>
      </c>
      <c r="I46" s="159">
        <f>E46*G46</f>
        <v>235.2</v>
      </c>
      <c r="J46" s="192" t="s">
        <v>255</v>
      </c>
      <c r="K46" s="187" t="s">
        <v>168</v>
      </c>
    </row>
    <row r="49" spans="1:16" x14ac:dyDescent="0.2">
      <c r="G49" s="188" t="s">
        <v>248</v>
      </c>
    </row>
    <row r="52" spans="1:16" ht="12.75" customHeight="1" x14ac:dyDescent="0.2">
      <c r="A52" s="182" t="s">
        <v>169</v>
      </c>
      <c r="B52" s="183" t="s">
        <v>256</v>
      </c>
    </row>
    <row r="53" spans="1:16" x14ac:dyDescent="0.2">
      <c r="A53" s="182"/>
    </row>
    <row r="54" spans="1:16" ht="24.75" customHeight="1" x14ac:dyDescent="0.2">
      <c r="A54" s="182"/>
      <c r="B54" s="193" t="s">
        <v>257</v>
      </c>
      <c r="C54" s="193"/>
      <c r="E54" s="184">
        <v>4730000000</v>
      </c>
      <c r="F54" s="159" t="s">
        <v>258</v>
      </c>
    </row>
    <row r="55" spans="1:16" x14ac:dyDescent="0.2">
      <c r="A55" s="182"/>
      <c r="B55" s="159" t="s">
        <v>259</v>
      </c>
      <c r="E55" s="184">
        <v>23040000</v>
      </c>
      <c r="F55" s="159" t="s">
        <v>250</v>
      </c>
    </row>
    <row r="56" spans="1:16" x14ac:dyDescent="0.2">
      <c r="A56" s="182"/>
      <c r="B56" s="159" t="s">
        <v>260</v>
      </c>
      <c r="E56" s="189">
        <v>100</v>
      </c>
      <c r="F56" s="159" t="s">
        <v>261</v>
      </c>
      <c r="G56" s="194" t="s">
        <v>262</v>
      </c>
    </row>
    <row r="57" spans="1:16" x14ac:dyDescent="0.2">
      <c r="A57" s="182"/>
      <c r="E57" s="189"/>
      <c r="G57" s="194"/>
    </row>
    <row r="58" spans="1:16" x14ac:dyDescent="0.2">
      <c r="A58" s="182"/>
      <c r="G58" s="194"/>
    </row>
    <row r="59" spans="1:16" x14ac:dyDescent="0.2">
      <c r="A59" s="182"/>
      <c r="E59" s="189"/>
    </row>
    <row r="60" spans="1:16" x14ac:dyDescent="0.2">
      <c r="A60" s="182"/>
      <c r="B60" s="159" t="s">
        <v>263</v>
      </c>
      <c r="D60" s="190">
        <f>E56</f>
        <v>100</v>
      </c>
      <c r="E60" s="191">
        <f>E55</f>
        <v>23040000</v>
      </c>
      <c r="F60" s="159" t="s">
        <v>240</v>
      </c>
      <c r="G60" s="195">
        <f>(D60/D61)*E60</f>
        <v>0.48710359408033821</v>
      </c>
      <c r="H60" s="159" t="s">
        <v>264</v>
      </c>
    </row>
    <row r="61" spans="1:16" x14ac:dyDescent="0.2">
      <c r="A61" s="182"/>
      <c r="D61" s="159">
        <f>E54</f>
        <v>4730000000</v>
      </c>
      <c r="E61" s="191"/>
    </row>
    <row r="62" spans="1:16" x14ac:dyDescent="0.2">
      <c r="A62" s="182"/>
      <c r="M62" s="165"/>
      <c r="N62" s="165"/>
      <c r="O62" s="165"/>
      <c r="P62" s="165"/>
    </row>
    <row r="63" spans="1:16" x14ac:dyDescent="0.2">
      <c r="A63" s="182"/>
      <c r="B63" s="159" t="s">
        <v>238</v>
      </c>
      <c r="M63" s="165"/>
      <c r="N63" s="165"/>
      <c r="O63" s="165"/>
      <c r="P63" s="165"/>
    </row>
    <row r="64" spans="1:16" x14ac:dyDescent="0.2">
      <c r="A64" s="182"/>
      <c r="M64" s="165"/>
      <c r="N64" s="165"/>
      <c r="O64" s="165"/>
      <c r="P64" s="165"/>
    </row>
    <row r="65" spans="1:16" x14ac:dyDescent="0.2">
      <c r="A65" s="182"/>
      <c r="B65" s="159" t="s">
        <v>239</v>
      </c>
      <c r="E65" s="195">
        <f>G60</f>
        <v>0.48710359408033821</v>
      </c>
      <c r="F65" s="159" t="s">
        <v>152</v>
      </c>
      <c r="G65" s="159">
        <f>'Daten mobil'!E4</f>
        <v>35.700000000000003</v>
      </c>
      <c r="H65" s="159" t="s">
        <v>240</v>
      </c>
      <c r="I65" s="196">
        <f>E65*G65</f>
        <v>17.389598308668077</v>
      </c>
      <c r="J65" s="159" t="s">
        <v>254</v>
      </c>
      <c r="M65" s="165"/>
      <c r="N65" s="165"/>
      <c r="O65" s="165"/>
      <c r="P65" s="165"/>
    </row>
    <row r="66" spans="1:16" x14ac:dyDescent="0.2">
      <c r="A66" s="182"/>
      <c r="I66" s="196"/>
      <c r="M66" s="165"/>
      <c r="N66" s="165"/>
      <c r="O66" s="165"/>
      <c r="P66" s="165"/>
    </row>
    <row r="67" spans="1:16" x14ac:dyDescent="0.2">
      <c r="A67" s="182"/>
      <c r="B67" s="159" t="s">
        <v>242</v>
      </c>
      <c r="I67" s="196"/>
      <c r="M67" s="165"/>
      <c r="N67" s="165"/>
      <c r="O67" s="165"/>
      <c r="P67" s="165"/>
    </row>
    <row r="68" spans="1:16" x14ac:dyDescent="0.2">
      <c r="A68" s="182"/>
      <c r="I68" s="196"/>
      <c r="M68" s="165"/>
      <c r="N68" s="165"/>
      <c r="O68" s="165"/>
      <c r="P68" s="165"/>
    </row>
    <row r="69" spans="1:16" x14ac:dyDescent="0.2">
      <c r="A69" s="182"/>
      <c r="B69" s="185" t="s">
        <v>243</v>
      </c>
      <c r="E69" s="195">
        <f>G60</f>
        <v>0.48710359408033821</v>
      </c>
      <c r="G69" s="159">
        <f>'Daten mobil'!F4</f>
        <v>41.4</v>
      </c>
      <c r="H69" s="159" t="s">
        <v>240</v>
      </c>
      <c r="I69" s="196">
        <f>E69*G69</f>
        <v>20.166088794926001</v>
      </c>
      <c r="J69" s="159" t="s">
        <v>254</v>
      </c>
      <c r="M69" s="165"/>
      <c r="N69" s="165"/>
      <c r="O69" s="165"/>
      <c r="P69" s="165"/>
    </row>
    <row r="70" spans="1:16" x14ac:dyDescent="0.2">
      <c r="A70" s="182"/>
      <c r="I70" s="196"/>
    </row>
    <row r="71" spans="1:16" x14ac:dyDescent="0.2">
      <c r="A71" s="182"/>
      <c r="B71" s="159" t="s">
        <v>244</v>
      </c>
      <c r="I71" s="196"/>
    </row>
    <row r="72" spans="1:16" x14ac:dyDescent="0.2">
      <c r="A72" s="182"/>
      <c r="I72" s="196"/>
    </row>
    <row r="73" spans="1:16" ht="25.5" x14ac:dyDescent="0.2">
      <c r="A73" s="182"/>
      <c r="B73" s="159" t="s">
        <v>245</v>
      </c>
      <c r="E73" s="195">
        <f>G60</f>
        <v>0.48710359408033821</v>
      </c>
      <c r="G73" s="159">
        <f>'Daten mobil'!H4</f>
        <v>2.5</v>
      </c>
      <c r="H73" s="159" t="s">
        <v>240</v>
      </c>
      <c r="I73" s="196">
        <f>E73*G73</f>
        <v>1.2177589852008455</v>
      </c>
      <c r="J73" s="192" t="s">
        <v>255</v>
      </c>
      <c r="K73" s="186" t="s">
        <v>167</v>
      </c>
    </row>
    <row r="74" spans="1:16" x14ac:dyDescent="0.2">
      <c r="A74" s="182"/>
      <c r="I74" s="196"/>
      <c r="J74" s="192"/>
      <c r="K74" s="165"/>
    </row>
    <row r="75" spans="1:16" ht="25.5" x14ac:dyDescent="0.2">
      <c r="A75" s="182"/>
      <c r="B75" s="159" t="s">
        <v>247</v>
      </c>
      <c r="E75" s="195">
        <f>G60</f>
        <v>0.48710359408033821</v>
      </c>
      <c r="G75" s="159">
        <f>'Daten mobil'!I4</f>
        <v>2.94</v>
      </c>
      <c r="H75" s="159" t="s">
        <v>240</v>
      </c>
      <c r="I75" s="196">
        <f>E75*G75</f>
        <v>1.4320845665961943</v>
      </c>
      <c r="J75" s="192" t="s">
        <v>255</v>
      </c>
      <c r="K75" s="187" t="s">
        <v>168</v>
      </c>
    </row>
    <row r="78" spans="1:16" x14ac:dyDescent="0.2">
      <c r="G78" s="188" t="s">
        <v>248</v>
      </c>
    </row>
  </sheetData>
  <sheetProtection selectLockedCells="1" selectUnlockedCells="1"/>
  <mergeCells count="6">
    <mergeCell ref="A4:A21"/>
    <mergeCell ref="A26:A46"/>
    <mergeCell ref="E31:E32"/>
    <mergeCell ref="A52:A75"/>
    <mergeCell ref="B54:C54"/>
    <mergeCell ref="E60:E61"/>
  </mergeCells>
  <hyperlinks>
    <hyperlink ref="G24" location="Einleitung!A1" display="Zurück"/>
    <hyperlink ref="G49" location="Einleitung!A1" display="Zurück"/>
    <hyperlink ref="G78" location="Einleitung!A1" display="Zurück"/>
  </hyperlinks>
  <pageMargins left="0.78749999999999998" right="0.78749999999999998" top="1.0527777777777778" bottom="1.0527777777777778" header="0.78749999999999998" footer="0.78749999999999998"/>
  <pageSetup paperSize="9" scale="55" orientation="portrait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CO2 allgemein</vt:lpstr>
      <vt:lpstr>Daten mobil</vt:lpstr>
      <vt:lpstr>Transport pauschal (Diesel)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buero Peters</dc:creator>
  <cp:lastModifiedBy>ing buero Peters</cp:lastModifiedBy>
  <dcterms:created xsi:type="dcterms:W3CDTF">2018-09-21T16:19:26Z</dcterms:created>
  <dcterms:modified xsi:type="dcterms:W3CDTF">2019-05-19T09:56:38Z</dcterms:modified>
</cp:coreProperties>
</file>