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gbu\Downloads\"/>
    </mc:Choice>
  </mc:AlternateContent>
  <xr:revisionPtr revIDLastSave="0" documentId="13_ncr:1_{D7E53E6D-109B-4A61-9A7D-437EC669B8C6}" xr6:coauthVersionLast="47" xr6:coauthVersionMax="47" xr10:uidLastSave="{00000000-0000-0000-0000-000000000000}"/>
  <bookViews>
    <workbookView xWindow="3306" yWindow="1050" windowWidth="17550" windowHeight="11136" activeTab="1" xr2:uid="{C00693E0-3255-4EE5-B561-E6BA9BCAE2C6}"/>
  </bookViews>
  <sheets>
    <sheet name="HeizKV  CO2KostAG" sheetId="2" r:id="rId1"/>
    <sheet name="Links" sheetId="3" r:id="rId2"/>
  </sheets>
  <externalReferences>
    <externalReference r:id="rId3"/>
    <externalReference r:id="rId4"/>
    <externalReference r:id="rId5"/>
    <externalReference r:id="rId6"/>
  </externalReferences>
  <definedNames>
    <definedName name="Country">[1]diverse!$F$4:$F$32</definedName>
    <definedName name="em_1">OFFSET(#REF!,0,0,1,COUNTA(#REF!))</definedName>
    <definedName name="em_2">OFFSET(#REF!,0,0,1,COUNTA(#REF!))</definedName>
    <definedName name="em_3">OFFSET(#REF!,0,0,1,COUNTA(#REF!))</definedName>
    <definedName name="em_4">OFFSET(#REF!,0,0,1,COUNTA(#REF!))</definedName>
    <definedName name="em_5">OFFSET(#REF!,0,0,1,COUNTA(#REF!))</definedName>
    <definedName name="em_6">OFFSET(#REF!,0,0,1,COUNTA(#REF!))</definedName>
    <definedName name="emission_factor">#REF!</definedName>
    <definedName name="energy_type">#REF!</definedName>
    <definedName name="energy_unit">#REF!</definedName>
    <definedName name="HTML_CodePage" hidden="1">1252</definedName>
    <definedName name="HTML_Control" hidden="1">{"'Verkehr-Personen'!$A$5:$J$26"}</definedName>
    <definedName name="HTML_Description" hidden="1">""</definedName>
    <definedName name="HTML_Email" hidden="1">""</definedName>
    <definedName name="HTML_Header" hidden="1">"Verkehr-Personen"</definedName>
    <definedName name="HTML_LastUpdate" hidden="1">"08-11-00"</definedName>
    <definedName name="HTML_LineAfter" hidden="1">FALSE</definedName>
    <definedName name="HTML_LineBefore" hidden="1">FALSE</definedName>
    <definedName name="HTML_Name" hidden="1">"Uwe R. Fritsche"</definedName>
    <definedName name="HTML_OBDlg2" hidden="1">TRUE</definedName>
    <definedName name="HTML_OBDlg4" hidden="1">TRUE</definedName>
    <definedName name="HTML_OS" hidden="1">0</definedName>
    <definedName name="HTML_PathFile" hidden="1">"D:\Archiv\G4-results Verkehr-P.htm"</definedName>
    <definedName name="HTML_Title" hidden="1">"G4-ergebnisse"</definedName>
    <definedName name="Indicator_Type_AssignStationToPostcode">[3]UserForm!$AI$12</definedName>
    <definedName name="Indicator_Type_LocationBuilding">[3]UserForm!$AI$10</definedName>
    <definedName name="Klimadaten_aktuell">'[4]Standardwerte Klima'!$N$1:$O$26</definedName>
    <definedName name="lcc_1">OFFSET(#REF!,0,0,1,COUNTA(#REF!))</definedName>
    <definedName name="lcc_annual_aquisition">OFFSET(#REF!,0,0,1,COUNTA(#REF!))</definedName>
    <definedName name="lcc_annual_maintenance">OFFSET(#REF!,0,0,1,COUNTA(#REF!))</definedName>
    <definedName name="lcc_annual_operation">OFFSET(#REF!,0,0,1,COUNTA(#REF!))</definedName>
    <definedName name="lcc_annual_othercosts">OFFSET(#REF!,0,0,1,COUNTA(#REF!))</definedName>
    <definedName name="lcc_annual_remnant">OFFSET(#REF!,0,0,1,COUNTA(#REF!))</definedName>
    <definedName name="lcc_usage_aquisition">OFFSET(#REF!,0,0,1,COUNTA(#REF!))</definedName>
    <definedName name="lcc_usage_maintenance">OFFSET(#REF!,0,0,1,COUNTA(#REF!))</definedName>
    <definedName name="lcc_usage_operation">OFFSET(#REF!,0,0,1,COUNTA(#REF!))</definedName>
    <definedName name="lcc_usage_othercosts">OFFSET(#REF!,0,0,1,COUNTA(#REF!))</definedName>
    <definedName name="lcc_usage_remnant">OFFSET(#REF!,0,0,1,COUNTA(#REF!))</definedName>
    <definedName name="motorraf" hidden="1">{"'Verkehr-Personen'!$A$5:$J$26"}</definedName>
    <definedName name="offer_id">OFFSET(#REF!,0,0,1,COUNTA(#REF!))</definedName>
    <definedName name="Products">[1]diverse!$J$5:$J$20</definedName>
    <definedName name="t" hidden="1">{"'Verkehr-Personen'!$A$5:$J$26"}</definedName>
    <definedName name="Timerange">[1]diverse!$M$4:$M$29</definedName>
    <definedName name="Verkehr2" hidden="1">{"'Verkehr-Personen'!$A$5:$J$26"}</definedName>
    <definedName name="VerkehrPkwKlassen" hidden="1">{"'Verkehr-Personen'!$A$5:$J$26"}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7" i="2" l="1"/>
  <c r="S61" i="2" l="1"/>
  <c r="U61" i="2"/>
  <c r="W42" i="2"/>
  <c r="N36" i="2"/>
  <c r="U62" i="2"/>
  <c r="Q62" i="2"/>
  <c r="R62" i="2" s="1"/>
  <c r="Q61" i="2"/>
  <c r="R61" i="2" s="1"/>
  <c r="X49" i="2"/>
  <c r="Z46" i="2"/>
  <c r="Y46" i="2"/>
  <c r="W46" i="2"/>
  <c r="P44" i="2"/>
  <c r="X60" i="2" s="1"/>
  <c r="N44" i="2"/>
  <c r="O60" i="2" s="1"/>
  <c r="Q60" i="2" s="1"/>
  <c r="R60" i="2" s="1"/>
  <c r="Y42" i="2"/>
  <c r="I38" i="2"/>
  <c r="I41" i="2" s="1"/>
  <c r="F20" i="2" s="1"/>
  <c r="E38" i="2"/>
  <c r="E41" i="2" s="1"/>
  <c r="F19" i="2" s="1"/>
  <c r="R38" i="2"/>
  <c r="AC34" i="2"/>
  <c r="AI34" i="2"/>
  <c r="AC33" i="2"/>
  <c r="AI33" i="2"/>
  <c r="AG33" i="2"/>
  <c r="S33" i="2"/>
  <c r="AC32" i="2"/>
  <c r="AI32" i="2"/>
  <c r="AG32" i="2"/>
  <c r="AC31" i="2"/>
  <c r="AI31" i="2"/>
  <c r="AG31" i="2"/>
  <c r="S31" i="2"/>
  <c r="AC30" i="2"/>
  <c r="AI30" i="2"/>
  <c r="AG30" i="2"/>
  <c r="E30" i="2"/>
  <c r="AC29" i="2"/>
  <c r="AI29" i="2"/>
  <c r="W29" i="2"/>
  <c r="U29" i="2"/>
  <c r="AC28" i="2"/>
  <c r="AI28" i="2"/>
  <c r="U28" i="2"/>
  <c r="T28" i="2"/>
  <c r="R28" i="2"/>
  <c r="I28" i="2"/>
  <c r="I30" i="2" s="1"/>
  <c r="F18" i="2" s="1"/>
  <c r="E28" i="2"/>
  <c r="AC27" i="2"/>
  <c r="AI27" i="2"/>
  <c r="AC26" i="2"/>
  <c r="AI26" i="2"/>
  <c r="AG26" i="2"/>
  <c r="AC25" i="2"/>
  <c r="AG25" i="2"/>
  <c r="AD25" i="2" s="1"/>
  <c r="P24" i="2"/>
  <c r="S29" i="2" s="1"/>
  <c r="N24" i="2"/>
  <c r="Q33" i="2" s="1"/>
  <c r="R33" i="2" s="1"/>
  <c r="R23" i="2"/>
  <c r="T22" i="2"/>
  <c r="S20" i="2"/>
  <c r="E20" i="2"/>
  <c r="R19" i="2"/>
  <c r="T19" i="2" s="1"/>
  <c r="E19" i="2"/>
  <c r="T18" i="2"/>
  <c r="R18" i="2"/>
  <c r="E18" i="2"/>
  <c r="R17" i="2"/>
  <c r="T17" i="2" s="1"/>
  <c r="E17" i="2"/>
  <c r="T16" i="2"/>
  <c r="R16" i="2"/>
  <c r="R15" i="2"/>
  <c r="T15" i="2" s="1"/>
  <c r="R14" i="2"/>
  <c r="T14" i="2" s="1"/>
  <c r="R13" i="2"/>
  <c r="T13" i="2" s="1"/>
  <c r="R12" i="2"/>
  <c r="T12" i="2" s="1"/>
  <c r="R11" i="2"/>
  <c r="T11" i="2" s="1"/>
  <c r="R10" i="2"/>
  <c r="T10" i="2" s="1"/>
  <c r="P3" i="2"/>
  <c r="U19" i="2" l="1"/>
  <c r="O49" i="2"/>
  <c r="Q49" i="2" s="1"/>
  <c r="R49" i="2" s="1"/>
  <c r="O55" i="2"/>
  <c r="Q55" i="2" s="1"/>
  <c r="R55" i="2" s="1"/>
  <c r="V59" i="2"/>
  <c r="N37" i="2"/>
  <c r="V49" i="2"/>
  <c r="X55" i="2"/>
  <c r="V60" i="2"/>
  <c r="V56" i="2"/>
  <c r="O50" i="2"/>
  <c r="Q50" i="2" s="1"/>
  <c r="R50" i="2" s="1"/>
  <c r="O57" i="2"/>
  <c r="Q57" i="2" s="1"/>
  <c r="R57" i="2" s="1"/>
  <c r="V57" i="2"/>
  <c r="AE25" i="2"/>
  <c r="AH26" i="2"/>
  <c r="AE31" i="2"/>
  <c r="AE33" i="2"/>
  <c r="N38" i="2"/>
  <c r="O47" i="2"/>
  <c r="Q47" i="2" s="1"/>
  <c r="R47" i="2" s="1"/>
  <c r="V51" i="2"/>
  <c r="X57" i="2"/>
  <c r="X47" i="2"/>
  <c r="V52" i="2"/>
  <c r="O58" i="2"/>
  <c r="Q58" i="2" s="1"/>
  <c r="R58" i="2" s="1"/>
  <c r="T33" i="2"/>
  <c r="AG27" i="2"/>
  <c r="AE27" i="2" s="1"/>
  <c r="AG28" i="2"/>
  <c r="AH28" i="2" s="1"/>
  <c r="Q30" i="2"/>
  <c r="R30" i="2" s="1"/>
  <c r="Q32" i="2"/>
  <c r="R32" i="2" s="1"/>
  <c r="V48" i="2"/>
  <c r="O54" i="2"/>
  <c r="Q54" i="2" s="1"/>
  <c r="R54" i="2" s="1"/>
  <c r="AH31" i="2"/>
  <c r="AE32" i="2"/>
  <c r="AH33" i="2"/>
  <c r="AE30" i="2"/>
  <c r="U33" i="2"/>
  <c r="W33" i="2" s="1"/>
  <c r="U15" i="2"/>
  <c r="W43" i="2"/>
  <c r="Y43" i="2"/>
  <c r="F21" i="2"/>
  <c r="AH25" i="2"/>
  <c r="AH30" i="2"/>
  <c r="AH32" i="2"/>
  <c r="X54" i="2"/>
  <c r="Q29" i="2"/>
  <c r="R29" i="2" s="1"/>
  <c r="AG29" i="2"/>
  <c r="S30" i="2"/>
  <c r="AD31" i="2"/>
  <c r="S32" i="2"/>
  <c r="T32" i="2" s="1"/>
  <c r="AD33" i="2"/>
  <c r="AG34" i="2"/>
  <c r="O51" i="2"/>
  <c r="Q51" i="2" s="1"/>
  <c r="R51" i="2" s="1"/>
  <c r="X51" i="2"/>
  <c r="V53" i="2"/>
  <c r="O59" i="2"/>
  <c r="Q59" i="2" s="1"/>
  <c r="R59" i="2" s="1"/>
  <c r="X59" i="2"/>
  <c r="O48" i="2"/>
  <c r="X48" i="2"/>
  <c r="V50" i="2"/>
  <c r="O56" i="2"/>
  <c r="Q56" i="2" s="1"/>
  <c r="R56" i="2" s="1"/>
  <c r="X56" i="2"/>
  <c r="V58" i="2"/>
  <c r="T30" i="2"/>
  <c r="U30" i="2" s="1"/>
  <c r="AE26" i="2"/>
  <c r="Q31" i="2"/>
  <c r="R31" i="2" s="1"/>
  <c r="V47" i="2"/>
  <c r="O53" i="2"/>
  <c r="Q53" i="2" s="1"/>
  <c r="R53" i="2" s="1"/>
  <c r="X53" i="2"/>
  <c r="V55" i="2"/>
  <c r="T23" i="2"/>
  <c r="T29" i="2" s="1"/>
  <c r="X50" i="2"/>
  <c r="X58" i="2"/>
  <c r="AD26" i="2"/>
  <c r="AD30" i="2"/>
  <c r="AD32" i="2"/>
  <c r="T31" i="2"/>
  <c r="O52" i="2"/>
  <c r="Q52" i="2" s="1"/>
  <c r="R52" i="2" s="1"/>
  <c r="X52" i="2"/>
  <c r="V54" i="2"/>
  <c r="AH27" i="2" l="1"/>
  <c r="AD28" i="2"/>
  <c r="AE28" i="2"/>
  <c r="AD27" i="2"/>
  <c r="U32" i="2"/>
  <c r="W32" i="2" s="1"/>
  <c r="W30" i="2"/>
  <c r="Y55" i="2"/>
  <c r="Y47" i="2"/>
  <c r="Y58" i="2"/>
  <c r="Y50" i="2"/>
  <c r="Y53" i="2"/>
  <c r="Y56" i="2"/>
  <c r="Y48" i="2"/>
  <c r="Y59" i="2"/>
  <c r="Y51" i="2"/>
  <c r="Y54" i="2"/>
  <c r="Y57" i="2"/>
  <c r="Y49" i="2"/>
  <c r="Y60" i="2"/>
  <c r="Y52" i="2"/>
  <c r="O44" i="2"/>
  <c r="Q48" i="2"/>
  <c r="W57" i="2"/>
  <c r="W49" i="2"/>
  <c r="W60" i="2"/>
  <c r="W52" i="2"/>
  <c r="W55" i="2"/>
  <c r="W47" i="2"/>
  <c r="W58" i="2"/>
  <c r="W50" i="2"/>
  <c r="W53" i="2"/>
  <c r="W56" i="2"/>
  <c r="W48" i="2"/>
  <c r="W59" i="2"/>
  <c r="W51" i="2"/>
  <c r="W54" i="2"/>
  <c r="AH29" i="2"/>
  <c r="AE29" i="2"/>
  <c r="AD29" i="2"/>
  <c r="U31" i="2"/>
  <c r="W31" i="2" s="1"/>
  <c r="AH34" i="2"/>
  <c r="AE34" i="2"/>
  <c r="AD34" i="2"/>
  <c r="Z58" i="2" l="1"/>
  <c r="Z59" i="2"/>
  <c r="U59" i="2" s="1"/>
  <c r="Z52" i="2"/>
  <c r="AA52" i="2" s="1"/>
  <c r="Z56" i="2"/>
  <c r="U56" i="2" s="1"/>
  <c r="Z60" i="2"/>
  <c r="U60" i="2" s="1"/>
  <c r="Z53" i="2"/>
  <c r="AA53" i="2" s="1"/>
  <c r="AG35" i="2"/>
  <c r="T42" i="2" s="1"/>
  <c r="T59" i="2" s="1"/>
  <c r="AF35" i="2"/>
  <c r="S42" i="2" s="1"/>
  <c r="S62" i="2" s="1"/>
  <c r="Z48" i="2"/>
  <c r="Z49" i="2"/>
  <c r="Z57" i="2"/>
  <c r="Z50" i="2"/>
  <c r="R48" i="2"/>
  <c r="Q44" i="2"/>
  <c r="U58" i="2"/>
  <c r="AB58" i="2"/>
  <c r="AA58" i="2"/>
  <c r="Z54" i="2"/>
  <c r="Z47" i="2"/>
  <c r="U24" i="2"/>
  <c r="U52" i="2"/>
  <c r="AB52" i="2"/>
  <c r="Z51" i="2"/>
  <c r="Z55" i="2"/>
  <c r="AA60" i="2" l="1"/>
  <c r="S52" i="2"/>
  <c r="S51" i="2"/>
  <c r="S58" i="2"/>
  <c r="AB60" i="2"/>
  <c r="AA56" i="2"/>
  <c r="S57" i="2"/>
  <c r="AA59" i="2"/>
  <c r="AB59" i="2"/>
  <c r="AB53" i="2"/>
  <c r="U53" i="2"/>
  <c r="AB56" i="2"/>
  <c r="T51" i="2"/>
  <c r="S49" i="2"/>
  <c r="T61" i="2"/>
  <c r="T62" i="2"/>
  <c r="T47" i="2"/>
  <c r="T49" i="2"/>
  <c r="S59" i="2"/>
  <c r="S60" i="2"/>
  <c r="T56" i="2"/>
  <c r="T60" i="2"/>
  <c r="S53" i="2"/>
  <c r="S54" i="2"/>
  <c r="T58" i="2"/>
  <c r="T57" i="2"/>
  <c r="T52" i="2"/>
  <c r="T50" i="2"/>
  <c r="T53" i="2"/>
  <c r="S47" i="2"/>
  <c r="S55" i="2"/>
  <c r="T55" i="2"/>
  <c r="T54" i="2"/>
  <c r="S50" i="2"/>
  <c r="S56" i="2"/>
  <c r="U57" i="2"/>
  <c r="AB57" i="2"/>
  <c r="AA57" i="2"/>
  <c r="U55" i="2"/>
  <c r="AB55" i="2"/>
  <c r="AA55" i="2"/>
  <c r="AB47" i="2"/>
  <c r="Z44" i="2"/>
  <c r="AA47" i="2"/>
  <c r="T48" i="2"/>
  <c r="S48" i="2"/>
  <c r="R44" i="2"/>
  <c r="U51" i="2"/>
  <c r="AB51" i="2"/>
  <c r="AA51" i="2"/>
  <c r="U54" i="2"/>
  <c r="AB54" i="2"/>
  <c r="AA54" i="2"/>
  <c r="U50" i="2"/>
  <c r="AB50" i="2"/>
  <c r="AA50" i="2"/>
  <c r="U49" i="2"/>
  <c r="AB49" i="2"/>
  <c r="AA49" i="2"/>
  <c r="AB48" i="2"/>
  <c r="AA48" i="2"/>
  <c r="U48" i="2"/>
  <c r="S44" i="2" l="1"/>
  <c r="T44" i="2"/>
  <c r="AB63" i="2"/>
  <c r="AB62" i="2"/>
  <c r="AB61" i="2"/>
  <c r="U44" i="2"/>
</calcChain>
</file>

<file path=xl/sharedStrings.xml><?xml version="1.0" encoding="utf-8"?>
<sst xmlns="http://schemas.openxmlformats.org/spreadsheetml/2006/main" count="205" uniqueCount="152">
  <si>
    <t>Energiezähler kWh/a</t>
  </si>
  <si>
    <t>WP Auslegung des TWW ist auf 10lmin für Duschen bei 30l/p*d bei 60C und bei 45/p*d. Duschen macht 2/3 der Energieverluste aus!</t>
  </si>
  <si>
    <t>TWW</t>
  </si>
  <si>
    <t>kWh/m³</t>
  </si>
  <si>
    <t>Wasserabrechung m³</t>
  </si>
  <si>
    <t>&lt; 100 = sehr gut | 115 ist der Durchschnitt</t>
  </si>
  <si>
    <t>&gt; 100 = bedenklich | es kann nicht kleiner sein als 58</t>
  </si>
  <si>
    <t>Einheiten je Wohneinheit / Nutzungseinheit</t>
  </si>
  <si>
    <t>Heizleistung (Watt)</t>
  </si>
  <si>
    <t xml:space="preserve">KC Wert </t>
  </si>
  <si>
    <t>Heizkörper</t>
  </si>
  <si>
    <t>Faktor</t>
  </si>
  <si>
    <t>Einheiten</t>
  </si>
  <si>
    <t>WE / NE 1</t>
  </si>
  <si>
    <t>Zimmer 1</t>
  </si>
  <si>
    <t>Zimmer 2</t>
  </si>
  <si>
    <t>Zimmer 3</t>
  </si>
  <si>
    <r>
      <t>Wohnfläche</t>
    </r>
    <r>
      <rPr>
        <sz val="11"/>
        <color theme="1"/>
        <rFont val="Calibri"/>
        <family val="2"/>
        <scheme val="minor"/>
      </rPr>
      <t>: Das sind Flächen von Räumen, die für Wohnzwecke genutzt werden. Dazu gehören Wohnzimmer, Schlafzimmer, Kinderzimmer, Küche, Bad usw. Auch die Fläche eines häuslichen Arbeitszimmers zählt als Wohnfläche.</t>
    </r>
  </si>
  <si>
    <t>Zimmer 4</t>
  </si>
  <si>
    <t>Zimmer 5</t>
  </si>
  <si>
    <r>
      <t>Nutzfläche</t>
    </r>
    <r>
      <rPr>
        <sz val="11"/>
        <color theme="1"/>
        <rFont val="Calibri"/>
        <family val="2"/>
        <scheme val="minor"/>
      </rPr>
      <t>: Damit sind die Flächen gemeint, die zu betrieblichen, öffentlichen oder sonstigen Zwecken dienen und keine Wohnflächen sind. Das sind zum Beispiel die Flächen von Verkaufsräumen, Läden, Werkstätten, Vereinsräumen usw.</t>
    </r>
  </si>
  <si>
    <t xml:space="preserve">Verbrauch </t>
  </si>
  <si>
    <t>Zimmer 6</t>
  </si>
  <si>
    <t>Wohneeinheit / Nutzungseinheit</t>
  </si>
  <si>
    <t>WE / NE 2</t>
  </si>
  <si>
    <r>
      <t>Zubehörräume bzw. Nebenräume</t>
    </r>
    <r>
      <rPr>
        <sz val="11"/>
        <color theme="1"/>
        <rFont val="Calibri"/>
        <family val="2"/>
        <scheme val="minor"/>
      </rPr>
      <t>: Dazu zählen u.a. Kellerräume, Abstellräume, Waschküchen, Trockenräume und Heizungsräume.</t>
    </r>
  </si>
  <si>
    <t>Anlage (zu den §§ 5 bis 7)</t>
  </si>
  <si>
    <t>Einstufung der Gebäude oder der Wohnungen bei Wohngebäuden</t>
  </si>
  <si>
    <t>Zimmer 7</t>
  </si>
  <si>
    <t>(Fundstelle: BGBl. I 2022, 2159)</t>
  </si>
  <si>
    <t>Beispiel</t>
  </si>
  <si>
    <t>Verbrauch</t>
  </si>
  <si>
    <t>Grundkosten</t>
  </si>
  <si>
    <t>Gesamtkosten</t>
  </si>
  <si>
    <t xml:space="preserve">Schlüssel </t>
  </si>
  <si>
    <t>Kohlendioxidausstoß des</t>
  </si>
  <si>
    <t>Anteil Mieter</t>
  </si>
  <si>
    <t>Anteil Vermieter</t>
  </si>
  <si>
    <t>vermieteten Gebäudes oder der Wohnung</t>
  </si>
  <si>
    <t>Zimmer</t>
  </si>
  <si>
    <t>Zimmer1</t>
  </si>
  <si>
    <t>Punkte</t>
  </si>
  <si>
    <t xml:space="preserve">Einheiten </t>
  </si>
  <si>
    <t>Fläche (m²)</t>
  </si>
  <si>
    <t>kWh</t>
  </si>
  <si>
    <t>pro Quadratmeter Wohnfläche und Jahr</t>
  </si>
  <si>
    <r>
      <t>&lt; 12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</si>
  <si>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Verbrauchskosten</t>
  </si>
  <si>
    <r>
      <t>12 bis &lt; 17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</si>
  <si>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Verteilungsgrundlage</t>
  </si>
  <si>
    <t>Kosten</t>
  </si>
  <si>
    <r>
      <t>17 bis &lt; 22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</si>
  <si>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Fläche</t>
  </si>
  <si>
    <t>Punkte/Ges.punkte</t>
  </si>
  <si>
    <t>WE/ Ges.fläche</t>
  </si>
  <si>
    <t>Kosten je m²</t>
  </si>
  <si>
    <r>
      <t>22 bis &lt; 27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</si>
  <si>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r>
      <t>27 bis &lt; 32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</si>
  <si>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r>
      <t>32 bis &lt; 37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</si>
  <si>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r>
      <t>37 bis &lt; 42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</si>
  <si>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WE / NE 3</t>
  </si>
  <si>
    <r>
      <t>42 bis &lt; 47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</si>
  <si>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WE / NE 4</t>
  </si>
  <si>
    <r>
      <t>47 bis &lt; 52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</si>
  <si>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r>
      <t>&gt; = 52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</si>
  <si>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Energie [KWh]</t>
  </si>
  <si>
    <t>Bei Nichtwohngebäuden ist die 50/ 50 Verteilung pauschal anzuwenden! Also die CO2 Kosten teilen sich Mieter und Vermieter zu 50 Prozent.</t>
  </si>
  <si>
    <t>Gesamt Punkte</t>
  </si>
  <si>
    <t xml:space="preserve">Gesamt Einheiten </t>
  </si>
  <si>
    <t>CO2 in g je kWh</t>
  </si>
  <si>
    <t>Gesamt Fläche</t>
  </si>
  <si>
    <t>Gesamt Fläche (m²)</t>
  </si>
  <si>
    <t>CO2 Kosten je t in Euro</t>
  </si>
  <si>
    <t>Mieter</t>
  </si>
  <si>
    <t>Vermieter</t>
  </si>
  <si>
    <t>5% auf Heizkostenabrechung</t>
  </si>
  <si>
    <t>Verbrauch (50/50 oder 70/30)</t>
  </si>
  <si>
    <t>Summe Einheiten</t>
  </si>
  <si>
    <t>Summe Einheiten kWh</t>
  </si>
  <si>
    <t>Summe Fläche</t>
  </si>
  <si>
    <t>Summe CO2 in Tonnen</t>
  </si>
  <si>
    <t>Summe CO2 Kosten</t>
  </si>
  <si>
    <t>Summe Mieter Kosten</t>
  </si>
  <si>
    <t>Summe Vermieter Kosten</t>
  </si>
  <si>
    <t>Summe unterlassung "Strafe" bei Fehlern der Abrechung</t>
  </si>
  <si>
    <t>Wohnfläche oder Nutzfläche</t>
  </si>
  <si>
    <t xml:space="preserve">Verbrauch in KWh </t>
  </si>
  <si>
    <t>Fläche [m²]</t>
  </si>
  <si>
    <t>CO2 in t</t>
  </si>
  <si>
    <t xml:space="preserve">CO2 Kosten </t>
  </si>
  <si>
    <t>%</t>
  </si>
  <si>
    <t>€ je m²</t>
  </si>
  <si>
    <t>WE / NE 5</t>
  </si>
  <si>
    <t>WE / NE 6</t>
  </si>
  <si>
    <t>WE / NE 7</t>
  </si>
  <si>
    <t>WE / NE 8</t>
  </si>
  <si>
    <t>WE / NE 9</t>
  </si>
  <si>
    <t>WE / NE 10</t>
  </si>
  <si>
    <t>WE / NE 11</t>
  </si>
  <si>
    <t>WE / NE 12</t>
  </si>
  <si>
    <t>WE / NE 13</t>
  </si>
  <si>
    <t>WE / NE 14</t>
  </si>
  <si>
    <t>https://www.gwb-elstertal.de/fileadmin/inhalte/Mieterportal/Mieterinformationen/Merkbl4-HK-Verteiler_02.pdf</t>
  </si>
  <si>
    <t>Mittelwert</t>
  </si>
  <si>
    <t>Min</t>
  </si>
  <si>
    <t>Max</t>
  </si>
  <si>
    <t>Strafe (€)</t>
  </si>
  <si>
    <t>Strafe bei fehlender plausibeler Abrechnung</t>
  </si>
  <si>
    <t>Schlüssel</t>
  </si>
  <si>
    <t>CO2 Verteilungskosten Mieter</t>
  </si>
  <si>
    <t>CO2 Verteilungskosten Vermieter</t>
  </si>
  <si>
    <t xml:space="preserve">Tabelle </t>
  </si>
  <si>
    <t>Eingaben</t>
  </si>
  <si>
    <t>Heizkostenverteilung</t>
  </si>
  <si>
    <t>A</t>
  </si>
  <si>
    <t>B</t>
  </si>
  <si>
    <t>C</t>
  </si>
  <si>
    <t>D</t>
  </si>
  <si>
    <t>E</t>
  </si>
  <si>
    <t>F</t>
  </si>
  <si>
    <t xml:space="preserve">G </t>
  </si>
  <si>
    <t>H</t>
  </si>
  <si>
    <t>I</t>
  </si>
  <si>
    <t>J</t>
  </si>
  <si>
    <t>K</t>
  </si>
  <si>
    <t>L</t>
  </si>
  <si>
    <t>M</t>
  </si>
  <si>
    <t>N</t>
  </si>
  <si>
    <t>O</t>
  </si>
  <si>
    <t>P</t>
  </si>
  <si>
    <t>LINKS</t>
  </si>
  <si>
    <t>https://www.bmwk.de/Redaktion/DE/CO2Kostenaufteilung/co2kostenaufteilung.html</t>
  </si>
  <si>
    <t>Links</t>
  </si>
  <si>
    <t>https://co2kostenaufteilung.bmwk.de/schritt1</t>
  </si>
  <si>
    <t>https://www.gesetze-im-internet.de/co2kostaufg/</t>
  </si>
  <si>
    <t>https://www.verbraucherzentrale.de/wissen/energie/heizen-und-warmwasser/klimapaket-was-bedeutet-es-fuer-mieter-und-hausbesitzer-43806</t>
  </si>
  <si>
    <t>https://bmdv.bund.de/SharedDocs/DE/Artikel/G/Klimaschutz-im-Verkehr/sondervermoegen-klima-und-transformationsfonds-ktf.html</t>
  </si>
  <si>
    <t>Bundesministerium für Digitales und Verkehr</t>
  </si>
  <si>
    <t>Verbraucherzentrale</t>
  </si>
  <si>
    <t>Gesetz</t>
  </si>
  <si>
    <t>Tool</t>
  </si>
  <si>
    <t>Info</t>
  </si>
  <si>
    <t>Bundesregierung</t>
  </si>
  <si>
    <t>https://www.bundesregierung.de/breg-de/aktuelles/ktf-sondervermoegen-2207614</t>
  </si>
  <si>
    <t xml:space="preserve">Bundesfinazministerium </t>
  </si>
  <si>
    <t>https://www.bundesfinanzministerium.de/Content/DE/Pressemitteilungen/Finanzpolitik/2023/08/2023-08-09-klima-und-transformationsfonds.html</t>
  </si>
  <si>
    <t>https://www.gesetze-im-internet.de/ao_1977/__3.html</t>
  </si>
  <si>
    <t>Steuern</t>
  </si>
  <si>
    <t>Bundeshaushalt</t>
  </si>
  <si>
    <t>https://www.bundeshaushalt.de/DE/Home/home.html</t>
  </si>
  <si>
    <t>https://www.heizspiegel.de/heizkosten-verstehen/muster-heizkostenabrechnung/</t>
  </si>
  <si>
    <t>Heizkosten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</si>
</sst>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&quot;€&quot;_-;\-* #,##0\ &quot;€&quot;_-;_-* &quot;-&quot;??\ &quot;€&quot;_-;_-@_-"/>
    <numFmt numFmtId="165" formatCode="_-* #,##0_-;\-* #,##0_-;_-* &quot;-&quot;??_-;_-@_-"/>
    <numFmt numFmtId="166" formatCode="0.0"/>
    <numFmt numFmtId="168" formatCode="0&quot; g&quot;"/>
    <numFmt numFmtId="169" formatCode="0\ &quot; kWh&quot;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3.5"/>
      <color theme="1"/>
      <name val="Arial"/>
      <family val="2"/>
    </font>
    <font>
      <vertAlign val="sub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5">
    <xf numFmtId="0" fontId="0" fillId="0" borderId="0" xfId="0"/>
    <xf numFmtId="0" fontId="1" fillId="0" borderId="0" xfId="4"/>
    <xf numFmtId="0" fontId="1" fillId="2" borderId="0" xfId="4" applyFill="1"/>
    <xf numFmtId="0" fontId="1" fillId="0" borderId="0" xfId="4" applyAlignment="1">
      <alignment horizontal="left" vertical="top" wrapText="1"/>
    </xf>
    <xf numFmtId="0" fontId="1" fillId="0" borderId="0" xfId="4" applyAlignment="1">
      <alignment horizontal="right"/>
    </xf>
    <xf numFmtId="0" fontId="2" fillId="0" borderId="0" xfId="4" applyFont="1"/>
    <xf numFmtId="0" fontId="3" fillId="0" borderId="0" xfId="4" applyFont="1"/>
    <xf numFmtId="0" fontId="1" fillId="0" borderId="1" xfId="4" applyBorder="1"/>
    <xf numFmtId="0" fontId="1" fillId="2" borderId="1" xfId="4" applyFill="1" applyBorder="1"/>
    <xf numFmtId="0" fontId="5" fillId="0" borderId="1" xfId="4" applyFont="1" applyBorder="1" applyAlignment="1">
      <alignment horizontal="right"/>
    </xf>
    <xf numFmtId="0" fontId="1" fillId="0" borderId="1" xfId="4" applyBorder="1" applyAlignment="1">
      <alignment horizontal="right"/>
    </xf>
    <xf numFmtId="0" fontId="6" fillId="0" borderId="0" xfId="5"/>
    <xf numFmtId="0" fontId="8" fillId="0" borderId="0" xfId="5" applyFont="1" applyAlignment="1">
      <alignment vertical="center"/>
    </xf>
    <xf numFmtId="0" fontId="3" fillId="0" borderId="2" xfId="4" applyFont="1" applyBorder="1"/>
    <xf numFmtId="0" fontId="1" fillId="0" borderId="3" xfId="4" applyBorder="1"/>
    <xf numFmtId="0" fontId="1" fillId="0" borderId="3" xfId="4" applyBorder="1" applyAlignment="1">
      <alignment horizontal="right"/>
    </xf>
    <xf numFmtId="0" fontId="1" fillId="0" borderId="4" xfId="4" applyBorder="1" applyAlignment="1">
      <alignment horizontal="right"/>
    </xf>
    <xf numFmtId="0" fontId="1" fillId="0" borderId="5" xfId="4" applyBorder="1"/>
    <xf numFmtId="164" fontId="0" fillId="2" borderId="0" xfId="6" applyNumberFormat="1" applyFont="1" applyFill="1" applyBorder="1" applyAlignment="1">
      <alignment horizontal="right"/>
    </xf>
    <xf numFmtId="0" fontId="1" fillId="2" borderId="0" xfId="4" applyFill="1" applyAlignment="1">
      <alignment horizontal="right"/>
    </xf>
    <xf numFmtId="0" fontId="1" fillId="0" borderId="6" xfId="4" applyBorder="1" applyAlignment="1">
      <alignment horizontal="right"/>
    </xf>
    <xf numFmtId="0" fontId="1" fillId="0" borderId="7" xfId="4" applyBorder="1"/>
    <xf numFmtId="0" fontId="1" fillId="0" borderId="8" xfId="4" applyBorder="1"/>
    <xf numFmtId="0" fontId="6" fillId="0" borderId="9" xfId="5" applyBorder="1" applyAlignment="1">
      <alignment horizontal="center" vertical="top" wrapText="1"/>
    </xf>
    <xf numFmtId="0" fontId="6" fillId="0" borderId="9" xfId="5" applyBorder="1" applyAlignment="1">
      <alignment horizontal="center" vertical="top" wrapText="1"/>
    </xf>
    <xf numFmtId="0" fontId="6" fillId="0" borderId="10" xfId="5" applyBorder="1" applyAlignment="1">
      <alignment horizontal="center" vertical="top" wrapText="1"/>
    </xf>
    <xf numFmtId="164" fontId="0" fillId="3" borderId="0" xfId="6" applyNumberFormat="1" applyFont="1" applyFill="1" applyBorder="1" applyAlignment="1">
      <alignment horizontal="right"/>
    </xf>
    <xf numFmtId="164" fontId="1" fillId="0" borderId="6" xfId="4" applyNumberFormat="1" applyBorder="1" applyAlignment="1">
      <alignment horizontal="right"/>
    </xf>
    <xf numFmtId="164" fontId="1" fillId="0" borderId="0" xfId="4" applyNumberFormat="1" applyAlignment="1">
      <alignment horizontal="right"/>
    </xf>
    <xf numFmtId="0" fontId="1" fillId="0" borderId="11" xfId="4" applyBorder="1"/>
    <xf numFmtId="0" fontId="6" fillId="0" borderId="12" xfId="5" applyBorder="1" applyAlignment="1">
      <alignment horizontal="center" vertical="top" wrapText="1"/>
    </xf>
    <xf numFmtId="0" fontId="6" fillId="0" borderId="12" xfId="5" applyBorder="1" applyAlignment="1">
      <alignment horizontal="center" vertical="top" wrapText="1"/>
    </xf>
    <xf numFmtId="0" fontId="6" fillId="0" borderId="13" xfId="5" applyBorder="1" applyAlignment="1">
      <alignment horizontal="center" vertical="top" wrapText="1"/>
    </xf>
    <xf numFmtId="0" fontId="1" fillId="0" borderId="14" xfId="4" applyBorder="1"/>
    <xf numFmtId="0" fontId="1" fillId="0" borderId="15" xfId="4" applyBorder="1"/>
    <xf numFmtId="0" fontId="1" fillId="0" borderId="15" xfId="4" applyBorder="1" applyAlignment="1">
      <alignment horizontal="right"/>
    </xf>
    <xf numFmtId="0" fontId="1" fillId="0" borderId="15" xfId="4" applyBorder="1" applyAlignment="1">
      <alignment horizontal="left"/>
    </xf>
    <xf numFmtId="0" fontId="1" fillId="2" borderId="15" xfId="4" applyFill="1" applyBorder="1" applyAlignment="1">
      <alignment horizontal="right"/>
    </xf>
    <xf numFmtId="44" fontId="1" fillId="0" borderId="16" xfId="4" applyNumberFormat="1" applyBorder="1" applyAlignment="1">
      <alignment horizontal="right"/>
    </xf>
    <xf numFmtId="44" fontId="1" fillId="0" borderId="0" xfId="4" applyNumberFormat="1" applyAlignment="1">
      <alignment horizontal="right"/>
    </xf>
    <xf numFmtId="0" fontId="6" fillId="0" borderId="17" xfId="5" applyBorder="1" applyAlignment="1">
      <alignment horizontal="center" vertical="top" wrapText="1"/>
    </xf>
    <xf numFmtId="0" fontId="6" fillId="0" borderId="17" xfId="5" applyBorder="1" applyAlignment="1">
      <alignment horizontal="center" vertical="top" wrapText="1"/>
    </xf>
    <xf numFmtId="0" fontId="6" fillId="0" borderId="18" xfId="5" applyBorder="1" applyAlignment="1">
      <alignment horizontal="center" vertical="top" wrapText="1"/>
    </xf>
    <xf numFmtId="0" fontId="1" fillId="0" borderId="0" xfId="4" applyAlignment="1">
      <alignment horizontal="left"/>
    </xf>
    <xf numFmtId="0" fontId="1" fillId="0" borderId="19" xfId="4" applyBorder="1"/>
    <xf numFmtId="0" fontId="1" fillId="0" borderId="20" xfId="4" applyBorder="1"/>
    <xf numFmtId="0" fontId="1" fillId="0" borderId="19" xfId="4" applyBorder="1" applyAlignment="1">
      <alignment horizontal="center"/>
    </xf>
    <xf numFmtId="0" fontId="1" fillId="0" borderId="21" xfId="4" applyBorder="1" applyAlignment="1">
      <alignment horizontal="center"/>
    </xf>
    <xf numFmtId="0" fontId="1" fillId="0" borderId="20" xfId="4" applyBorder="1" applyAlignment="1">
      <alignment horizontal="center"/>
    </xf>
    <xf numFmtId="0" fontId="1" fillId="0" borderId="1" xfId="4" applyBorder="1" applyAlignment="1">
      <alignment horizontal="center"/>
    </xf>
    <xf numFmtId="44" fontId="1" fillId="0" borderId="22" xfId="4" applyNumberFormat="1" applyBorder="1" applyAlignment="1">
      <alignment horizontal="right"/>
    </xf>
    <xf numFmtId="0" fontId="11" fillId="0" borderId="0" xfId="4" applyFont="1" applyAlignment="1">
      <alignment horizontal="right"/>
    </xf>
    <xf numFmtId="0" fontId="5" fillId="0" borderId="0" xfId="4" applyFont="1" applyAlignment="1">
      <alignment horizontal="right"/>
    </xf>
    <xf numFmtId="0" fontId="1" fillId="0" borderId="22" xfId="4" applyBorder="1"/>
    <xf numFmtId="0" fontId="1" fillId="0" borderId="22" xfId="4" applyBorder="1" applyAlignment="1">
      <alignment horizontal="right"/>
    </xf>
    <xf numFmtId="10" fontId="1" fillId="0" borderId="22" xfId="4" applyNumberFormat="1" applyBorder="1" applyAlignment="1">
      <alignment horizontal="right"/>
    </xf>
    <xf numFmtId="0" fontId="1" fillId="0" borderId="23" xfId="4" applyBorder="1"/>
    <xf numFmtId="0" fontId="1" fillId="4" borderId="23" xfId="4" applyFill="1" applyBorder="1"/>
    <xf numFmtId="0" fontId="12" fillId="0" borderId="23" xfId="4" applyFont="1" applyBorder="1" applyAlignment="1">
      <alignment horizontal="right" wrapText="1"/>
    </xf>
    <xf numFmtId="0" fontId="1" fillId="4" borderId="22" xfId="4" applyFill="1" applyBorder="1"/>
    <xf numFmtId="0" fontId="4" fillId="0" borderId="22" xfId="4" applyFont="1" applyBorder="1"/>
    <xf numFmtId="0" fontId="4" fillId="4" borderId="22" xfId="4" applyFont="1" applyFill="1" applyBorder="1"/>
    <xf numFmtId="10" fontId="13" fillId="0" borderId="22" xfId="4" applyNumberFormat="1" applyFont="1" applyBorder="1" applyAlignment="1">
      <alignment horizontal="right"/>
    </xf>
    <xf numFmtId="44" fontId="13" fillId="0" borderId="22" xfId="6" applyFont="1" applyBorder="1" applyAlignment="1">
      <alignment horizontal="right"/>
    </xf>
    <xf numFmtId="0" fontId="1" fillId="4" borderId="1" xfId="4" applyFill="1" applyBorder="1"/>
    <xf numFmtId="10" fontId="1" fillId="0" borderId="1" xfId="4" applyNumberFormat="1" applyBorder="1" applyAlignment="1">
      <alignment horizontal="right"/>
    </xf>
    <xf numFmtId="44" fontId="1" fillId="0" borderId="1" xfId="4" applyNumberFormat="1" applyBorder="1" applyAlignment="1">
      <alignment horizontal="right"/>
    </xf>
    <xf numFmtId="0" fontId="1" fillId="0" borderId="24" xfId="4" applyBorder="1"/>
    <xf numFmtId="0" fontId="1" fillId="0" borderId="25" xfId="4" applyBorder="1"/>
    <xf numFmtId="164" fontId="0" fillId="2" borderId="0" xfId="9" applyNumberFormat="1" applyFont="1" applyFill="1" applyBorder="1" applyAlignment="1">
      <alignment horizontal="right"/>
    </xf>
    <xf numFmtId="0" fontId="1" fillId="0" borderId="6" xfId="4" applyBorder="1"/>
    <xf numFmtId="0" fontId="12" fillId="0" borderId="16" xfId="4" applyFont="1" applyBorder="1" applyAlignment="1">
      <alignment horizontal="right"/>
    </xf>
    <xf numFmtId="0" fontId="12" fillId="0" borderId="0" xfId="4" applyFont="1" applyAlignment="1">
      <alignment horizontal="right"/>
    </xf>
    <xf numFmtId="0" fontId="1" fillId="0" borderId="15" xfId="4" applyBorder="1" applyAlignment="1">
      <alignment wrapText="1"/>
    </xf>
    <xf numFmtId="0" fontId="1" fillId="0" borderId="19" xfId="4" applyBorder="1" applyAlignment="1">
      <alignment horizontal="center"/>
    </xf>
    <xf numFmtId="0" fontId="1" fillId="0" borderId="21" xfId="4" applyBorder="1" applyAlignment="1">
      <alignment horizontal="center"/>
    </xf>
    <xf numFmtId="0" fontId="1" fillId="0" borderId="16" xfId="4" applyBorder="1" applyAlignment="1">
      <alignment horizontal="right"/>
    </xf>
    <xf numFmtId="166" fontId="1" fillId="0" borderId="1" xfId="4" applyNumberFormat="1" applyBorder="1"/>
    <xf numFmtId="2" fontId="1" fillId="0" borderId="1" xfId="4" applyNumberFormat="1" applyBorder="1"/>
    <xf numFmtId="44" fontId="1" fillId="0" borderId="1" xfId="9" applyFont="1" applyBorder="1"/>
    <xf numFmtId="9" fontId="0" fillId="0" borderId="1" xfId="10" applyFont="1" applyBorder="1" applyAlignment="1">
      <alignment horizontal="right"/>
    </xf>
    <xf numFmtId="0" fontId="1" fillId="2" borderId="23" xfId="4" applyFill="1" applyBorder="1"/>
    <xf numFmtId="10" fontId="1" fillId="0" borderId="23" xfId="4" applyNumberFormat="1" applyBorder="1" applyAlignment="1">
      <alignment horizontal="right"/>
    </xf>
    <xf numFmtId="44" fontId="1" fillId="0" borderId="23" xfId="4" applyNumberFormat="1" applyBorder="1" applyAlignment="1">
      <alignment horizontal="right"/>
    </xf>
    <xf numFmtId="9" fontId="0" fillId="0" borderId="23" xfId="10" applyFont="1" applyBorder="1" applyAlignment="1">
      <alignment horizontal="right"/>
    </xf>
    <xf numFmtId="44" fontId="1" fillId="0" borderId="0" xfId="4" applyNumberFormat="1"/>
    <xf numFmtId="0" fontId="1" fillId="0" borderId="0" xfId="4" applyBorder="1" applyAlignment="1">
      <alignment horizontal="right"/>
    </xf>
    <xf numFmtId="168" fontId="0" fillId="2" borderId="0" xfId="6" applyNumberFormat="1" applyFont="1" applyFill="1" applyBorder="1" applyAlignment="1">
      <alignment horizontal="right"/>
    </xf>
    <xf numFmtId="169" fontId="0" fillId="2" borderId="0" xfId="8" applyNumberFormat="1" applyFont="1" applyFill="1" applyBorder="1" applyAlignment="1">
      <alignment horizontal="right"/>
    </xf>
    <xf numFmtId="0" fontId="1" fillId="0" borderId="0" xfId="4" applyBorder="1"/>
    <xf numFmtId="164" fontId="1" fillId="0" borderId="0" xfId="4" applyNumberFormat="1" applyBorder="1"/>
    <xf numFmtId="0" fontId="1" fillId="0" borderId="0" xfId="4" applyBorder="1" applyAlignment="1">
      <alignment horizontal="left"/>
    </xf>
    <xf numFmtId="1" fontId="1" fillId="0" borderId="0" xfId="4" applyNumberFormat="1" applyBorder="1" applyAlignment="1">
      <alignment horizontal="left"/>
    </xf>
    <xf numFmtId="44" fontId="0" fillId="2" borderId="0" xfId="2" applyFont="1" applyFill="1" applyBorder="1" applyAlignment="1">
      <alignment horizontal="right"/>
    </xf>
    <xf numFmtId="165" fontId="0" fillId="2" borderId="0" xfId="1" applyNumberFormat="1" applyFont="1" applyFill="1" applyBorder="1" applyAlignment="1">
      <alignment horizontal="right"/>
    </xf>
    <xf numFmtId="0" fontId="1" fillId="0" borderId="0" xfId="4" applyAlignment="1">
      <alignment horizontal="left" wrapText="1"/>
    </xf>
    <xf numFmtId="0" fontId="1" fillId="0" borderId="26" xfId="4" applyBorder="1"/>
    <xf numFmtId="9" fontId="1" fillId="0" borderId="26" xfId="7" applyFont="1" applyFill="1" applyBorder="1" applyAlignment="1">
      <alignment horizontal="right"/>
    </xf>
    <xf numFmtId="9" fontId="1" fillId="0" borderId="26" xfId="7" applyFont="1" applyBorder="1" applyAlignment="1">
      <alignment horizontal="left"/>
    </xf>
    <xf numFmtId="9" fontId="1" fillId="0" borderId="26" xfId="7" applyFont="1" applyBorder="1" applyAlignment="1">
      <alignment horizontal="right"/>
    </xf>
    <xf numFmtId="0" fontId="1" fillId="0" borderId="26" xfId="4" applyBorder="1" applyAlignment="1">
      <alignment horizontal="right"/>
    </xf>
    <xf numFmtId="9" fontId="1" fillId="0" borderId="26" xfId="4" applyNumberFormat="1" applyBorder="1"/>
    <xf numFmtId="9" fontId="1" fillId="0" borderId="5" xfId="4" applyNumberFormat="1" applyBorder="1" applyAlignment="1">
      <alignment horizontal="right"/>
    </xf>
    <xf numFmtId="164" fontId="0" fillId="0" borderId="26" xfId="6" applyNumberFormat="1" applyFont="1" applyFill="1" applyBorder="1" applyAlignment="1">
      <alignment horizontal="right"/>
    </xf>
    <xf numFmtId="165" fontId="1" fillId="0" borderId="16" xfId="8" applyNumberFormat="1" applyFont="1" applyBorder="1"/>
    <xf numFmtId="165" fontId="1" fillId="0" borderId="22" xfId="8" applyNumberFormat="1" applyFont="1" applyBorder="1"/>
    <xf numFmtId="2" fontId="1" fillId="0" borderId="22" xfId="4" applyNumberFormat="1" applyBorder="1"/>
    <xf numFmtId="9" fontId="6" fillId="0" borderId="17" xfId="3" applyFont="1" applyBorder="1" applyAlignment="1">
      <alignment horizontal="center" vertical="top" wrapText="1"/>
    </xf>
    <xf numFmtId="9" fontId="1" fillId="2" borderId="15" xfId="7" applyFont="1" applyFill="1" applyBorder="1" applyAlignment="1">
      <alignment horizontal="right"/>
    </xf>
    <xf numFmtId="0" fontId="1" fillId="0" borderId="14" xfId="4" applyBorder="1" applyAlignment="1">
      <alignment horizontal="left"/>
    </xf>
    <xf numFmtId="0" fontId="14" fillId="0" borderId="0" xfId="4" applyFont="1"/>
    <xf numFmtId="0" fontId="7" fillId="0" borderId="0" xfId="5" applyFont="1" applyAlignment="1">
      <alignment horizontal="left" wrapText="1"/>
    </xf>
    <xf numFmtId="0" fontId="1" fillId="0" borderId="1" xfId="4" applyBorder="1" applyAlignment="1">
      <alignment horizontal="right" wrapText="1"/>
    </xf>
    <xf numFmtId="0" fontId="1" fillId="0" borderId="5" xfId="4" applyBorder="1" applyAlignment="1">
      <alignment horizontal="center" vertical="center"/>
    </xf>
    <xf numFmtId="0" fontId="1" fillId="0" borderId="6" xfId="4" applyBorder="1" applyAlignment="1">
      <alignment horizontal="center" vertical="center"/>
    </xf>
    <xf numFmtId="0" fontId="1" fillId="0" borderId="26" xfId="4" applyBorder="1" applyAlignment="1">
      <alignment horizontal="center" vertical="center"/>
    </xf>
    <xf numFmtId="164" fontId="1" fillId="0" borderId="26" xfId="4" applyNumberFormat="1" applyBorder="1" applyAlignment="1">
      <alignment horizontal="center" vertical="center"/>
    </xf>
    <xf numFmtId="0" fontId="1" fillId="0" borderId="19" xfId="4" applyBorder="1" applyAlignment="1">
      <alignment horizontal="right"/>
    </xf>
    <xf numFmtId="0" fontId="1" fillId="0" borderId="3" xfId="4" applyBorder="1" applyAlignment="1">
      <alignment horizontal="center"/>
    </xf>
    <xf numFmtId="0" fontId="1" fillId="0" borderId="2" xfId="4" applyBorder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1" xfId="0" applyBorder="1"/>
    <xf numFmtId="0" fontId="1" fillId="0" borderId="1" xfId="4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5" fillId="0" borderId="0" xfId="0" applyFont="1"/>
  </cellXfs>
  <cellStyles count="11">
    <cellStyle name="Komma" xfId="1" builtinId="3"/>
    <cellStyle name="Komma 2" xfId="8" xr:uid="{35C6710D-2D6A-4F1A-8F1F-5404325D10F7}"/>
    <cellStyle name="Prozent" xfId="3" builtinId="5"/>
    <cellStyle name="Prozent 2" xfId="7" xr:uid="{C3F8D9E5-93B4-4E60-9440-B3CD94AB8F5C}"/>
    <cellStyle name="Prozent 5" xfId="10" xr:uid="{7C4F3A94-B998-4B4F-8596-6B90F4298DBE}"/>
    <cellStyle name="Standard" xfId="0" builtinId="0"/>
    <cellStyle name="Standard 2" xfId="5" xr:uid="{088FD654-D412-4B19-84F8-945D620E282C}"/>
    <cellStyle name="Standard 9" xfId="4" xr:uid="{AC2FC82B-8E18-4954-B6B6-9EE2CB99D65F}"/>
    <cellStyle name="Währung" xfId="2" builtinId="4"/>
    <cellStyle name="Währung 2" xfId="9" xr:uid="{EC62927F-FF09-4B1C-9A45-9A270FD18632}"/>
    <cellStyle name="Währung 3" xfId="6" xr:uid="{8DE85C44-86AD-4A4D-B90F-0481B5C26B1D}"/>
  </cellStyles>
  <dxfs count="1"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3" Type="http://schemas.openxmlformats.org/officeDocument/2006/relationships/image" Target="../media/image6.tmp"/><Relationship Id="rId7" Type="http://schemas.openxmlformats.org/officeDocument/2006/relationships/image" Target="../media/image10.jpeg"/><Relationship Id="rId12" Type="http://schemas.openxmlformats.org/officeDocument/2006/relationships/image" Target="../media/image15.tmp"/><Relationship Id="rId17" Type="http://schemas.openxmlformats.org/officeDocument/2006/relationships/image" Target="../media/image20.tmp"/><Relationship Id="rId2" Type="http://schemas.openxmlformats.org/officeDocument/2006/relationships/image" Target="../media/image5.tmp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tmp"/><Relationship Id="rId15" Type="http://schemas.openxmlformats.org/officeDocument/2006/relationships/image" Target="../media/image18.tmp"/><Relationship Id="rId10" Type="http://schemas.openxmlformats.org/officeDocument/2006/relationships/image" Target="../media/image13.png"/><Relationship Id="rId19" Type="http://schemas.openxmlformats.org/officeDocument/2006/relationships/image" Target="../media/image22.tmp"/><Relationship Id="rId4" Type="http://schemas.openxmlformats.org/officeDocument/2006/relationships/image" Target="../media/image7.png"/><Relationship Id="rId9" Type="http://schemas.openxmlformats.org/officeDocument/2006/relationships/image" Target="../media/image12.tmp"/><Relationship Id="rId14" Type="http://schemas.openxmlformats.org/officeDocument/2006/relationships/image" Target="../media/image17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98851</xdr:rowOff>
    </xdr:from>
    <xdr:to>
      <xdr:col>11</xdr:col>
      <xdr:colOff>93810</xdr:colOff>
      <xdr:row>56</xdr:row>
      <xdr:rowOff>125762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3190A085-50D9-4627-8329-0B22356A9732}"/>
            </a:ext>
          </a:extLst>
        </xdr:cNvPr>
        <xdr:cNvGrpSpPr/>
      </xdr:nvGrpSpPr>
      <xdr:grpSpPr>
        <a:xfrm>
          <a:off x="0" y="830371"/>
          <a:ext cx="9004130" cy="12163031"/>
          <a:chOff x="11288900" y="527049"/>
          <a:chExt cx="8616709" cy="9553815"/>
        </a:xfrm>
      </xdr:grpSpPr>
      <xdr:grpSp>
        <xdr:nvGrpSpPr>
          <xdr:cNvPr id="3" name="Gruppieren 2">
            <a:extLst>
              <a:ext uri="{FF2B5EF4-FFF2-40B4-BE49-F238E27FC236}">
                <a16:creationId xmlns:a16="http://schemas.microsoft.com/office/drawing/2014/main" id="{A3FA6CA4-F7C4-24FB-BE74-6D9CDE3D94A5}"/>
              </a:ext>
            </a:extLst>
          </xdr:cNvPr>
          <xdr:cNvGrpSpPr/>
        </xdr:nvGrpSpPr>
        <xdr:grpSpPr>
          <a:xfrm>
            <a:off x="11288900" y="527049"/>
            <a:ext cx="8616709" cy="9553815"/>
            <a:chOff x="6669275" y="288924"/>
            <a:chExt cx="8616709" cy="9553815"/>
          </a:xfrm>
        </xdr:grpSpPr>
        <xdr:pic>
          <xdr:nvPicPr>
            <xdr:cNvPr id="10" name="Grafik 9">
              <a:extLst>
                <a:ext uri="{FF2B5EF4-FFF2-40B4-BE49-F238E27FC236}">
                  <a16:creationId xmlns:a16="http://schemas.microsoft.com/office/drawing/2014/main" id="{0B4FBCD3-E07F-B81B-4610-9D43BF0270B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669275" y="288924"/>
              <a:ext cx="8616709" cy="9553815"/>
            </a:xfrm>
            <a:prstGeom prst="rect">
              <a:avLst/>
            </a:prstGeom>
          </xdr:spPr>
        </xdr:pic>
        <xdr:sp macro="" textlink="">
          <xdr:nvSpPr>
            <xdr:cNvPr id="11" name="Rechteck 10">
              <a:extLst>
                <a:ext uri="{FF2B5EF4-FFF2-40B4-BE49-F238E27FC236}">
                  <a16:creationId xmlns:a16="http://schemas.microsoft.com/office/drawing/2014/main" id="{C51E5B8B-6688-A20A-41CA-319C46457421}"/>
                </a:ext>
              </a:extLst>
            </xdr:cNvPr>
            <xdr:cNvSpPr/>
          </xdr:nvSpPr>
          <xdr:spPr>
            <a:xfrm>
              <a:off x="9286875" y="8224837"/>
              <a:ext cx="1084263" cy="1155700"/>
            </a:xfrm>
            <a:prstGeom prst="rect">
              <a:avLst/>
            </a:prstGeom>
            <a:gradFill>
              <a:gsLst>
                <a:gs pos="0">
                  <a:srgbClr val="FF9900"/>
                </a:gs>
                <a:gs pos="100000">
                  <a:srgbClr val="FFCC99"/>
                </a:gs>
              </a:gsLst>
              <a:lin ang="5400000" scaled="1"/>
            </a:grad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de-DE" sz="1600"/>
            </a:p>
          </xdr:txBody>
        </xdr:sp>
        <xdr:sp macro="" textlink="">
          <xdr:nvSpPr>
            <xdr:cNvPr id="12" name="Shape 60551">
              <a:extLst>
                <a:ext uri="{FF2B5EF4-FFF2-40B4-BE49-F238E27FC236}">
                  <a16:creationId xmlns:a16="http://schemas.microsoft.com/office/drawing/2014/main" id="{C85D38EC-160B-4FAB-CE63-70B59C41ED4A}"/>
                </a:ext>
              </a:extLst>
            </xdr:cNvPr>
            <xdr:cNvSpPr/>
          </xdr:nvSpPr>
          <xdr:spPr>
            <a:xfrm>
              <a:off x="9244853" y="7328647"/>
              <a:ext cx="4549588" cy="78441"/>
            </a:xfrm>
            <a:custGeom>
              <a:avLst/>
              <a:gdLst/>
              <a:ahLst/>
              <a:cxnLst/>
              <a:rect l="0" t="0" r="0" b="0"/>
              <a:pathLst>
                <a:path w="467868" h="73152">
                  <a:moveTo>
                    <a:pt x="0" y="0"/>
                  </a:moveTo>
                  <a:lnTo>
                    <a:pt x="467868" y="0"/>
                  </a:lnTo>
                  <a:lnTo>
                    <a:pt x="467868" y="73152"/>
                  </a:lnTo>
                  <a:lnTo>
                    <a:pt x="0" y="73152"/>
                  </a:lnTo>
                  <a:lnTo>
                    <a:pt x="0" y="0"/>
                  </a:lnTo>
                </a:path>
              </a:pathLst>
            </a:custGeom>
            <a:solidFill>
              <a:srgbClr val="A2B9C2"/>
            </a:solidFill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0099CC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3" name="Shape 60552">
              <a:extLst>
                <a:ext uri="{FF2B5EF4-FFF2-40B4-BE49-F238E27FC236}">
                  <a16:creationId xmlns:a16="http://schemas.microsoft.com/office/drawing/2014/main" id="{CC520104-32BA-495D-3CCB-0F2995D79FF1}"/>
                </a:ext>
              </a:extLst>
            </xdr:cNvPr>
            <xdr:cNvSpPr/>
          </xdr:nvSpPr>
          <xdr:spPr>
            <a:xfrm>
              <a:off x="9200029" y="5434852"/>
              <a:ext cx="4605619" cy="78441"/>
            </a:xfrm>
            <a:custGeom>
              <a:avLst/>
              <a:gdLst/>
              <a:ahLst/>
              <a:cxnLst/>
              <a:rect l="0" t="0" r="0" b="0"/>
              <a:pathLst>
                <a:path w="467868" h="71628">
                  <a:moveTo>
                    <a:pt x="0" y="0"/>
                  </a:moveTo>
                  <a:lnTo>
                    <a:pt x="467868" y="0"/>
                  </a:lnTo>
                  <a:lnTo>
                    <a:pt x="467868" y="71628"/>
                  </a:lnTo>
                  <a:lnTo>
                    <a:pt x="0" y="71628"/>
                  </a:lnTo>
                  <a:lnTo>
                    <a:pt x="0" y="0"/>
                  </a:lnTo>
                </a:path>
              </a:pathLst>
            </a:custGeom>
            <a:solidFill>
              <a:srgbClr val="0099CC"/>
            </a:solidFill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0099CC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4" name="Shape 60553">
              <a:extLst>
                <a:ext uri="{FF2B5EF4-FFF2-40B4-BE49-F238E27FC236}">
                  <a16:creationId xmlns:a16="http://schemas.microsoft.com/office/drawing/2014/main" id="{E1D38D08-E3CC-E701-A56F-A4B3C7DDF5FC}"/>
                </a:ext>
              </a:extLst>
            </xdr:cNvPr>
            <xdr:cNvSpPr/>
          </xdr:nvSpPr>
          <xdr:spPr>
            <a:xfrm>
              <a:off x="12718676" y="8825101"/>
              <a:ext cx="1049805" cy="72370"/>
            </a:xfrm>
            <a:custGeom>
              <a:avLst/>
              <a:gdLst/>
              <a:ahLst/>
              <a:cxnLst/>
              <a:rect l="0" t="0" r="0" b="0"/>
              <a:pathLst>
                <a:path w="467868" h="71628">
                  <a:moveTo>
                    <a:pt x="0" y="0"/>
                  </a:moveTo>
                  <a:lnTo>
                    <a:pt x="467868" y="0"/>
                  </a:lnTo>
                  <a:lnTo>
                    <a:pt x="467868" y="71628"/>
                  </a:lnTo>
                  <a:lnTo>
                    <a:pt x="0" y="71628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CC99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5" name="Shape 60554">
              <a:extLst>
                <a:ext uri="{FF2B5EF4-FFF2-40B4-BE49-F238E27FC236}">
                  <a16:creationId xmlns:a16="http://schemas.microsoft.com/office/drawing/2014/main" id="{A11E44F5-C20B-1883-FD60-1B4A2CFCA0BC}"/>
                </a:ext>
              </a:extLst>
            </xdr:cNvPr>
            <xdr:cNvSpPr/>
          </xdr:nvSpPr>
          <xdr:spPr>
            <a:xfrm>
              <a:off x="11242675" y="8310847"/>
              <a:ext cx="830263" cy="71437"/>
            </a:xfrm>
            <a:custGeom>
              <a:avLst/>
              <a:gdLst/>
              <a:ahLst/>
              <a:cxnLst/>
              <a:rect l="0" t="0" r="0" b="0"/>
              <a:pathLst>
                <a:path w="829056" h="71628">
                  <a:moveTo>
                    <a:pt x="0" y="0"/>
                  </a:moveTo>
                  <a:lnTo>
                    <a:pt x="829056" y="0"/>
                  </a:lnTo>
                  <a:lnTo>
                    <a:pt x="829056" y="71628"/>
                  </a:lnTo>
                  <a:lnTo>
                    <a:pt x="0" y="71628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9900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6" name="Shape 60555">
              <a:extLst>
                <a:ext uri="{FF2B5EF4-FFF2-40B4-BE49-F238E27FC236}">
                  <a16:creationId xmlns:a16="http://schemas.microsoft.com/office/drawing/2014/main" id="{54E15AE7-F581-407A-EB28-48DFF794707E}"/>
                </a:ext>
              </a:extLst>
            </xdr:cNvPr>
            <xdr:cNvSpPr/>
          </xdr:nvSpPr>
          <xdr:spPr>
            <a:xfrm>
              <a:off x="11295530" y="4943570"/>
              <a:ext cx="827088" cy="73025"/>
            </a:xfrm>
            <a:custGeom>
              <a:avLst/>
              <a:gdLst/>
              <a:ahLst/>
              <a:cxnLst/>
              <a:rect l="0" t="0" r="0" b="0"/>
              <a:pathLst>
                <a:path w="827532" h="73152">
                  <a:moveTo>
                    <a:pt x="0" y="0"/>
                  </a:moveTo>
                  <a:lnTo>
                    <a:pt x="827532" y="0"/>
                  </a:lnTo>
                  <a:lnTo>
                    <a:pt x="827532" y="73152"/>
                  </a:lnTo>
                  <a:lnTo>
                    <a:pt x="0" y="73152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99CCFF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7" name="Shape 60586">
              <a:extLst>
                <a:ext uri="{FF2B5EF4-FFF2-40B4-BE49-F238E27FC236}">
                  <a16:creationId xmlns:a16="http://schemas.microsoft.com/office/drawing/2014/main" id="{809ACD4A-A8E1-6E7C-F19B-14214A61685B}"/>
                </a:ext>
              </a:extLst>
            </xdr:cNvPr>
            <xdr:cNvSpPr/>
          </xdr:nvSpPr>
          <xdr:spPr>
            <a:xfrm>
              <a:off x="10339388" y="9186862"/>
              <a:ext cx="3406775" cy="79375"/>
            </a:xfrm>
            <a:custGeom>
              <a:avLst/>
              <a:gdLst/>
              <a:ahLst/>
              <a:cxnLst/>
              <a:rect l="0" t="0" r="0" b="0"/>
              <a:pathLst>
                <a:path w="3346704" h="71628">
                  <a:moveTo>
                    <a:pt x="0" y="0"/>
                  </a:moveTo>
                  <a:lnTo>
                    <a:pt x="3346704" y="0"/>
                  </a:lnTo>
                  <a:lnTo>
                    <a:pt x="3346704" y="71628"/>
                  </a:lnTo>
                  <a:lnTo>
                    <a:pt x="0" y="71628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CC99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8" name="Shape 60588">
              <a:extLst>
                <a:ext uri="{FF2B5EF4-FFF2-40B4-BE49-F238E27FC236}">
                  <a16:creationId xmlns:a16="http://schemas.microsoft.com/office/drawing/2014/main" id="{2D14ADA6-F7C6-5A71-C6AD-01B4340A7662}"/>
                </a:ext>
              </a:extLst>
            </xdr:cNvPr>
            <xdr:cNvSpPr/>
          </xdr:nvSpPr>
          <xdr:spPr>
            <a:xfrm>
              <a:off x="10339388" y="8321675"/>
              <a:ext cx="971550" cy="73025"/>
            </a:xfrm>
            <a:custGeom>
              <a:avLst/>
              <a:gdLst/>
              <a:ahLst/>
              <a:cxnLst/>
              <a:rect l="0" t="0" r="0" b="0"/>
              <a:pathLst>
                <a:path w="970788" h="73152">
                  <a:moveTo>
                    <a:pt x="0" y="0"/>
                  </a:moveTo>
                  <a:lnTo>
                    <a:pt x="970788" y="0"/>
                  </a:lnTo>
                  <a:lnTo>
                    <a:pt x="970788" y="73152"/>
                  </a:lnTo>
                  <a:lnTo>
                    <a:pt x="0" y="73152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9900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pic>
          <xdr:nvPicPr>
            <xdr:cNvPr id="19" name="Picture 56608">
              <a:extLst>
                <a:ext uri="{FF2B5EF4-FFF2-40B4-BE49-F238E27FC236}">
                  <a16:creationId xmlns:a16="http://schemas.microsoft.com/office/drawing/2014/main" id="{E0604334-FE17-778F-BB52-15E9E5275E0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31563" y="4937507"/>
              <a:ext cx="63966" cy="3457194"/>
            </a:xfrm>
            <a:prstGeom prst="rect">
              <a:avLst/>
            </a:prstGeom>
            <a:gradFill rotWithShape="0">
              <a:gsLst>
                <a:gs pos="0">
                  <a:srgbClr val="FF9900"/>
                </a:gs>
                <a:gs pos="100000">
                  <a:srgbClr val="99CCFF"/>
                </a:gs>
              </a:gsLst>
              <a:lin ang="5400000" scaled="1"/>
            </a:gra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0" name="Shape 1347">
              <a:extLst>
                <a:ext uri="{FF2B5EF4-FFF2-40B4-BE49-F238E27FC236}">
                  <a16:creationId xmlns:a16="http://schemas.microsoft.com/office/drawing/2014/main" id="{BB929A78-2B8E-B04A-9991-7C2E9393E01C}"/>
                </a:ext>
              </a:extLst>
            </xdr:cNvPr>
            <xdr:cNvSpPr/>
          </xdr:nvSpPr>
          <xdr:spPr>
            <a:xfrm>
              <a:off x="10698163" y="8250237"/>
              <a:ext cx="215900" cy="215900"/>
            </a:xfrm>
            <a:custGeom>
              <a:avLst/>
              <a:gdLst/>
              <a:ahLst/>
              <a:cxnLst/>
              <a:rect l="0" t="0" r="0" b="0"/>
              <a:pathLst>
                <a:path w="216408" h="216408">
                  <a:moveTo>
                    <a:pt x="108204" y="0"/>
                  </a:moveTo>
                  <a:cubicBezTo>
                    <a:pt x="167640" y="0"/>
                    <a:pt x="216408" y="48768"/>
                    <a:pt x="216408" y="108204"/>
                  </a:cubicBezTo>
                  <a:cubicBezTo>
                    <a:pt x="216408" y="167640"/>
                    <a:pt x="167640" y="216408"/>
                    <a:pt x="108204" y="216408"/>
                  </a:cubicBezTo>
                  <a:cubicBezTo>
                    <a:pt x="48768" y="216408"/>
                    <a:pt x="0" y="167640"/>
                    <a:pt x="0" y="108204"/>
                  </a:cubicBezTo>
                  <a:cubicBezTo>
                    <a:pt x="0" y="48768"/>
                    <a:pt x="48768" y="0"/>
                    <a:pt x="108204" y="0"/>
                  </a:cubicBezTo>
                  <a:close/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FFFF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21" name="Shape 1352">
              <a:extLst>
                <a:ext uri="{FF2B5EF4-FFF2-40B4-BE49-F238E27FC236}">
                  <a16:creationId xmlns:a16="http://schemas.microsoft.com/office/drawing/2014/main" id="{8857F92E-127A-F61A-6AD3-A4238163BAA5}"/>
                </a:ext>
              </a:extLst>
            </xdr:cNvPr>
            <xdr:cNvSpPr/>
          </xdr:nvSpPr>
          <xdr:spPr>
            <a:xfrm>
              <a:off x="11075988" y="6683375"/>
              <a:ext cx="107950" cy="323850"/>
            </a:xfrm>
            <a:custGeom>
              <a:avLst/>
              <a:gdLst/>
              <a:ahLst/>
              <a:cxnLst/>
              <a:rect l="0" t="0" r="0" b="0"/>
              <a:pathLst>
                <a:path w="108204" h="323088">
                  <a:moveTo>
                    <a:pt x="54864" y="0"/>
                  </a:moveTo>
                  <a:lnTo>
                    <a:pt x="108204" y="80772"/>
                  </a:lnTo>
                  <a:lnTo>
                    <a:pt x="82297" y="80772"/>
                  </a:lnTo>
                  <a:lnTo>
                    <a:pt x="82297" y="323088"/>
                  </a:lnTo>
                  <a:lnTo>
                    <a:pt x="27432" y="323088"/>
                  </a:lnTo>
                  <a:lnTo>
                    <a:pt x="27432" y="80772"/>
                  </a:lnTo>
                  <a:lnTo>
                    <a:pt x="0" y="80772"/>
                  </a:lnTo>
                  <a:lnTo>
                    <a:pt x="54864" y="0"/>
                  </a:lnTo>
                  <a:close/>
                </a:path>
              </a:pathLst>
            </a:custGeom>
            <a:solidFill>
              <a:schemeClr val="tx1"/>
            </a:solidFill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3300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22" name="Shape 1353">
              <a:extLst>
                <a:ext uri="{FF2B5EF4-FFF2-40B4-BE49-F238E27FC236}">
                  <a16:creationId xmlns:a16="http://schemas.microsoft.com/office/drawing/2014/main" id="{A5635408-DCCE-5F39-21DB-D6D6EB16A04A}"/>
                </a:ext>
              </a:extLst>
            </xdr:cNvPr>
            <xdr:cNvSpPr/>
          </xdr:nvSpPr>
          <xdr:spPr>
            <a:xfrm>
              <a:off x="11231563" y="9380537"/>
              <a:ext cx="360362" cy="107950"/>
            </a:xfrm>
            <a:custGeom>
              <a:avLst/>
              <a:gdLst/>
              <a:ahLst/>
              <a:cxnLst/>
              <a:rect l="0" t="0" r="0" b="0"/>
              <a:pathLst>
                <a:path w="359664" h="108204">
                  <a:moveTo>
                    <a:pt x="89916" y="0"/>
                  </a:moveTo>
                  <a:lnTo>
                    <a:pt x="89916" y="25908"/>
                  </a:lnTo>
                  <a:lnTo>
                    <a:pt x="359664" y="25908"/>
                  </a:lnTo>
                  <a:lnTo>
                    <a:pt x="359664" y="80772"/>
                  </a:lnTo>
                  <a:lnTo>
                    <a:pt x="89916" y="80772"/>
                  </a:lnTo>
                  <a:lnTo>
                    <a:pt x="89916" y="108204"/>
                  </a:lnTo>
                  <a:lnTo>
                    <a:pt x="0" y="53340"/>
                  </a:lnTo>
                  <a:lnTo>
                    <a:pt x="89916" y="0"/>
                  </a:lnTo>
                  <a:close/>
                </a:path>
              </a:pathLst>
            </a:custGeom>
            <a:solidFill>
              <a:schemeClr val="tx1"/>
            </a:solidFill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0066CC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grpSp>
          <xdr:nvGrpSpPr>
            <xdr:cNvPr id="23" name="Gruppieren 22">
              <a:extLst>
                <a:ext uri="{FF2B5EF4-FFF2-40B4-BE49-F238E27FC236}">
                  <a16:creationId xmlns:a16="http://schemas.microsoft.com/office/drawing/2014/main" id="{498ABE71-1469-F8ED-35BF-21726F045BE6}"/>
                </a:ext>
              </a:extLst>
            </xdr:cNvPr>
            <xdr:cNvGrpSpPr>
              <a:grpSpLocks/>
            </xdr:cNvGrpSpPr>
          </xdr:nvGrpSpPr>
          <xdr:grpSpPr bwMode="auto">
            <a:xfrm flipV="1">
              <a:off x="11485551" y="8234871"/>
              <a:ext cx="296861" cy="446086"/>
              <a:chOff x="3817978" y="3990611"/>
              <a:chExt cx="297181" cy="446501"/>
            </a:xfrm>
          </xdr:grpSpPr>
          <xdr:sp macro="" textlink="">
            <xdr:nvSpPr>
              <xdr:cNvPr id="131" name="Shape 1374">
                <a:extLst>
                  <a:ext uri="{FF2B5EF4-FFF2-40B4-BE49-F238E27FC236}">
                    <a16:creationId xmlns:a16="http://schemas.microsoft.com/office/drawing/2014/main" id="{54FC3B6C-7035-A83E-1B4B-5B90666B442B}"/>
                  </a:ext>
                </a:extLst>
              </xdr:cNvPr>
              <xdr:cNvSpPr/>
            </xdr:nvSpPr>
            <xdr:spPr>
              <a:xfrm>
                <a:off x="3967363" y="4225779"/>
                <a:ext cx="143029" cy="201800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2" name="Shape 1375">
                <a:extLst>
                  <a:ext uri="{FF2B5EF4-FFF2-40B4-BE49-F238E27FC236}">
                    <a16:creationId xmlns:a16="http://schemas.microsoft.com/office/drawing/2014/main" id="{D117E9A3-818E-52A9-63CD-7A413166333D}"/>
                  </a:ext>
                </a:extLst>
              </xdr:cNvPr>
              <xdr:cNvSpPr/>
            </xdr:nvSpPr>
            <xdr:spPr>
              <a:xfrm>
                <a:off x="3822745" y="4225779"/>
                <a:ext cx="144618" cy="201800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3" name="Shape 1376">
                <a:extLst>
                  <a:ext uri="{FF2B5EF4-FFF2-40B4-BE49-F238E27FC236}">
                    <a16:creationId xmlns:a16="http://schemas.microsoft.com/office/drawing/2014/main" id="{B418C4F8-D1D3-18EF-55BC-7581123BA90D}"/>
                  </a:ext>
                </a:extLst>
              </xdr:cNvPr>
              <xdr:cNvSpPr/>
            </xdr:nvSpPr>
            <xdr:spPr>
              <a:xfrm>
                <a:off x="3817978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4" name="Shape 1377">
                <a:extLst>
                  <a:ext uri="{FF2B5EF4-FFF2-40B4-BE49-F238E27FC236}">
                    <a16:creationId xmlns:a16="http://schemas.microsoft.com/office/drawing/2014/main" id="{D116C33A-D142-4D27-2D9F-DE13EDE8A7DB}"/>
                  </a:ext>
                </a:extLst>
              </xdr:cNvPr>
              <xdr:cNvSpPr/>
            </xdr:nvSpPr>
            <xdr:spPr>
              <a:xfrm>
                <a:off x="3892670" y="4268681"/>
                <a:ext cx="147797" cy="115994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5" name="Shape 1378">
                <a:extLst>
                  <a:ext uri="{FF2B5EF4-FFF2-40B4-BE49-F238E27FC236}">
                    <a16:creationId xmlns:a16="http://schemas.microsoft.com/office/drawing/2014/main" id="{6482B8E0-1CD4-63DC-318F-BB2E7B920B37}"/>
                  </a:ext>
                </a:extLst>
              </xdr:cNvPr>
              <xdr:cNvSpPr/>
            </xdr:nvSpPr>
            <xdr:spPr>
              <a:xfrm>
                <a:off x="4040467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6" name="Shape 60596">
                <a:extLst>
                  <a:ext uri="{FF2B5EF4-FFF2-40B4-BE49-F238E27FC236}">
                    <a16:creationId xmlns:a16="http://schemas.microsoft.com/office/drawing/2014/main" id="{7751F891-2B56-47D8-9CD4-698DBFA06B38}"/>
                  </a:ext>
                </a:extLst>
              </xdr:cNvPr>
              <xdr:cNvSpPr/>
            </xdr:nvSpPr>
            <xdr:spPr>
              <a:xfrm>
                <a:off x="3948293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7" name="Shape 60597">
                <a:extLst>
                  <a:ext uri="{FF2B5EF4-FFF2-40B4-BE49-F238E27FC236}">
                    <a16:creationId xmlns:a16="http://schemas.microsoft.com/office/drawing/2014/main" id="{181681B0-A587-95AD-B8AC-B409E3EC72A2}"/>
                  </a:ext>
                </a:extLst>
              </xdr:cNvPr>
              <xdr:cNvSpPr/>
            </xdr:nvSpPr>
            <xdr:spPr>
              <a:xfrm>
                <a:off x="3872011" y="4119318"/>
                <a:ext cx="189115" cy="55613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8" name="Shape 1382">
                <a:extLst>
                  <a:ext uri="{FF2B5EF4-FFF2-40B4-BE49-F238E27FC236}">
                    <a16:creationId xmlns:a16="http://schemas.microsoft.com/office/drawing/2014/main" id="{A0B6FBB9-54B1-D9BC-CAEE-12E27E7E49A7}"/>
                  </a:ext>
                </a:extLst>
              </xdr:cNvPr>
              <xdr:cNvSpPr/>
            </xdr:nvSpPr>
            <xdr:spPr>
              <a:xfrm>
                <a:off x="3879957" y="3990611"/>
                <a:ext cx="8263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9" name="Shape 1383">
                <a:extLst>
                  <a:ext uri="{FF2B5EF4-FFF2-40B4-BE49-F238E27FC236}">
                    <a16:creationId xmlns:a16="http://schemas.microsoft.com/office/drawing/2014/main" id="{FB0C8CDD-DAFF-1F6D-F395-D36D094363EE}"/>
                  </a:ext>
                </a:extLst>
              </xdr:cNvPr>
              <xdr:cNvSpPr/>
            </xdr:nvSpPr>
            <xdr:spPr>
              <a:xfrm>
                <a:off x="3962595" y="3990611"/>
                <a:ext cx="81050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grpSp>
          <xdr:nvGrpSpPr>
            <xdr:cNvPr id="24" name="Gruppieren 23">
              <a:extLst>
                <a:ext uri="{FF2B5EF4-FFF2-40B4-BE49-F238E27FC236}">
                  <a16:creationId xmlns:a16="http://schemas.microsoft.com/office/drawing/2014/main" id="{F962ACE1-7FC0-6F83-CB95-5B7DB5BFC5CF}"/>
                </a:ext>
              </a:extLst>
            </xdr:cNvPr>
            <xdr:cNvGrpSpPr/>
          </xdr:nvGrpSpPr>
          <xdr:grpSpPr>
            <a:xfrm>
              <a:off x="12025580" y="8248837"/>
              <a:ext cx="816361" cy="693459"/>
              <a:chOff x="2771800" y="1052736"/>
              <a:chExt cx="4138716" cy="4985651"/>
            </a:xfrm>
            <a:gradFill>
              <a:gsLst>
                <a:gs pos="0">
                  <a:srgbClr val="FF9900"/>
                </a:gs>
                <a:gs pos="100000">
                  <a:srgbClr val="FFCC99"/>
                </a:gs>
              </a:gsLst>
              <a:lin ang="5400000" scaled="1"/>
            </a:gradFill>
          </xdr:grpSpPr>
          <xdr:sp macro="" textlink="">
            <xdr:nvSpPr>
              <xdr:cNvPr id="122" name="Rechteck 121">
                <a:extLst>
                  <a:ext uri="{FF2B5EF4-FFF2-40B4-BE49-F238E27FC236}">
                    <a16:creationId xmlns:a16="http://schemas.microsoft.com/office/drawing/2014/main" id="{24A6DBD3-87B9-A227-641B-4C70EA30A520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3" name="Rechteck 122">
                <a:extLst>
                  <a:ext uri="{FF2B5EF4-FFF2-40B4-BE49-F238E27FC236}">
                    <a16:creationId xmlns:a16="http://schemas.microsoft.com/office/drawing/2014/main" id="{F8477769-FDE5-E2AE-44B2-1155E4D10D40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4" name="Flussdiagramm: Alternativer Prozess 123">
                <a:extLst>
                  <a:ext uri="{FF2B5EF4-FFF2-40B4-BE49-F238E27FC236}">
                    <a16:creationId xmlns:a16="http://schemas.microsoft.com/office/drawing/2014/main" id="{C2B6CD3E-DC94-4C87-A7E6-06426F595C3F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5" name="Flussdiagramm: Alternativer Prozess 124">
                <a:extLst>
                  <a:ext uri="{FF2B5EF4-FFF2-40B4-BE49-F238E27FC236}">
                    <a16:creationId xmlns:a16="http://schemas.microsoft.com/office/drawing/2014/main" id="{2FAFF8D5-57DD-2F01-1A11-4AEF66207383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6" name="Flussdiagramm: Alternativer Prozess 125">
                <a:extLst>
                  <a:ext uri="{FF2B5EF4-FFF2-40B4-BE49-F238E27FC236}">
                    <a16:creationId xmlns:a16="http://schemas.microsoft.com/office/drawing/2014/main" id="{3979B977-F44F-25A3-5A14-7862CB2A8A40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7" name="Flussdiagramm: Alternativer Prozess 126">
                <a:extLst>
                  <a:ext uri="{FF2B5EF4-FFF2-40B4-BE49-F238E27FC236}">
                    <a16:creationId xmlns:a16="http://schemas.microsoft.com/office/drawing/2014/main" id="{59FD72E3-C2DA-C523-5E8D-A92E20E5A135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8" name="Flussdiagramm: Alternativer Prozess 127">
                <a:extLst>
                  <a:ext uri="{FF2B5EF4-FFF2-40B4-BE49-F238E27FC236}">
                    <a16:creationId xmlns:a16="http://schemas.microsoft.com/office/drawing/2014/main" id="{A6FB330D-F302-F66B-57DC-B033DC989A5A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9" name="Flussdiagramm: Alternativer Prozess 128">
                <a:extLst>
                  <a:ext uri="{FF2B5EF4-FFF2-40B4-BE49-F238E27FC236}">
                    <a16:creationId xmlns:a16="http://schemas.microsoft.com/office/drawing/2014/main" id="{A483733B-B013-97E5-80DA-7BF875E5975B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30" name="Abgerundetes Rechteck 456">
                <a:extLst>
                  <a:ext uri="{FF2B5EF4-FFF2-40B4-BE49-F238E27FC236}">
                    <a16:creationId xmlns:a16="http://schemas.microsoft.com/office/drawing/2014/main" id="{D4F090A9-F3C9-ED2F-54F4-CC795F31E3AC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grpSp>
          <xdr:nvGrpSpPr>
            <xdr:cNvPr id="25" name="Gruppieren 24">
              <a:extLst>
                <a:ext uri="{FF2B5EF4-FFF2-40B4-BE49-F238E27FC236}">
                  <a16:creationId xmlns:a16="http://schemas.microsoft.com/office/drawing/2014/main" id="{BE8811BB-8A1E-C5D4-0C17-0386482E0A62}"/>
                </a:ext>
              </a:extLst>
            </xdr:cNvPr>
            <xdr:cNvGrpSpPr/>
          </xdr:nvGrpSpPr>
          <xdr:grpSpPr>
            <a:xfrm>
              <a:off x="11821979" y="6726729"/>
              <a:ext cx="800296" cy="697646"/>
              <a:chOff x="2771800" y="1052736"/>
              <a:chExt cx="4138716" cy="4985651"/>
            </a:xfrm>
            <a:gradFill>
              <a:gsLst>
                <a:gs pos="0">
                  <a:srgbClr val="C9B8CB"/>
                </a:gs>
                <a:gs pos="100000">
                  <a:srgbClr val="A2B9C2"/>
                </a:gs>
              </a:gsLst>
              <a:lin ang="5400000" scaled="1"/>
            </a:gradFill>
          </xdr:grpSpPr>
          <xdr:sp macro="" textlink="">
            <xdr:nvSpPr>
              <xdr:cNvPr id="113" name="Rechteck 112">
                <a:extLst>
                  <a:ext uri="{FF2B5EF4-FFF2-40B4-BE49-F238E27FC236}">
                    <a16:creationId xmlns:a16="http://schemas.microsoft.com/office/drawing/2014/main" id="{C7D6F9C6-CCD8-C8F3-292B-58AAA890CEE1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4" name="Rechteck 113">
                <a:extLst>
                  <a:ext uri="{FF2B5EF4-FFF2-40B4-BE49-F238E27FC236}">
                    <a16:creationId xmlns:a16="http://schemas.microsoft.com/office/drawing/2014/main" id="{428BA3EB-3E79-FC90-0668-94319BE29B36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5" name="Flussdiagramm: Alternativer Prozess 114">
                <a:extLst>
                  <a:ext uri="{FF2B5EF4-FFF2-40B4-BE49-F238E27FC236}">
                    <a16:creationId xmlns:a16="http://schemas.microsoft.com/office/drawing/2014/main" id="{B8F19B74-CB72-1119-43A1-1A3663955051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6" name="Flussdiagramm: Alternativer Prozess 115">
                <a:extLst>
                  <a:ext uri="{FF2B5EF4-FFF2-40B4-BE49-F238E27FC236}">
                    <a16:creationId xmlns:a16="http://schemas.microsoft.com/office/drawing/2014/main" id="{43375CA9-AB61-0F8D-357B-E88CB277D362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7" name="Flussdiagramm: Alternativer Prozess 116">
                <a:extLst>
                  <a:ext uri="{FF2B5EF4-FFF2-40B4-BE49-F238E27FC236}">
                    <a16:creationId xmlns:a16="http://schemas.microsoft.com/office/drawing/2014/main" id="{13673DA6-449C-0560-1D5D-D2076BB0FD59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8" name="Flussdiagramm: Alternativer Prozess 117">
                <a:extLst>
                  <a:ext uri="{FF2B5EF4-FFF2-40B4-BE49-F238E27FC236}">
                    <a16:creationId xmlns:a16="http://schemas.microsoft.com/office/drawing/2014/main" id="{11C3FB23-4D86-7E37-4B41-E1B76CB526EA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9" name="Flussdiagramm: Alternativer Prozess 118">
                <a:extLst>
                  <a:ext uri="{FF2B5EF4-FFF2-40B4-BE49-F238E27FC236}">
                    <a16:creationId xmlns:a16="http://schemas.microsoft.com/office/drawing/2014/main" id="{EA3FE2C0-3E5E-34CC-AC00-DFDC1B041237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0" name="Flussdiagramm: Alternativer Prozess 119">
                <a:extLst>
                  <a:ext uri="{FF2B5EF4-FFF2-40B4-BE49-F238E27FC236}">
                    <a16:creationId xmlns:a16="http://schemas.microsoft.com/office/drawing/2014/main" id="{FAB8913D-C685-FC05-69A4-D3E3A01068EF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1" name="Abgerundetes Rechteck 447">
                <a:extLst>
                  <a:ext uri="{FF2B5EF4-FFF2-40B4-BE49-F238E27FC236}">
                    <a16:creationId xmlns:a16="http://schemas.microsoft.com/office/drawing/2014/main" id="{8A01ED2D-1DE4-E5BE-CD61-6576917D037B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grpSp>
          <xdr:nvGrpSpPr>
            <xdr:cNvPr id="26" name="Gruppieren 25">
              <a:extLst>
                <a:ext uri="{FF2B5EF4-FFF2-40B4-BE49-F238E27FC236}">
                  <a16:creationId xmlns:a16="http://schemas.microsoft.com/office/drawing/2014/main" id="{16E6BDCE-8A73-4DD6-CE56-40423A3D58B9}"/>
                </a:ext>
              </a:extLst>
            </xdr:cNvPr>
            <xdr:cNvGrpSpPr/>
          </xdr:nvGrpSpPr>
          <xdr:grpSpPr>
            <a:xfrm>
              <a:off x="11817529" y="4829174"/>
              <a:ext cx="800296" cy="697646"/>
              <a:chOff x="2771800" y="1052736"/>
              <a:chExt cx="4138716" cy="4985651"/>
            </a:xfrm>
            <a:gradFill>
              <a:gsLst>
                <a:gs pos="0">
                  <a:srgbClr val="99CCFF"/>
                </a:gs>
                <a:gs pos="100000">
                  <a:srgbClr val="0099CC"/>
                </a:gs>
              </a:gsLst>
              <a:lin ang="5400000" scaled="1"/>
            </a:gradFill>
          </xdr:grpSpPr>
          <xdr:sp macro="" textlink="">
            <xdr:nvSpPr>
              <xdr:cNvPr id="104" name="Rechteck 103">
                <a:extLst>
                  <a:ext uri="{FF2B5EF4-FFF2-40B4-BE49-F238E27FC236}">
                    <a16:creationId xmlns:a16="http://schemas.microsoft.com/office/drawing/2014/main" id="{77A0C26E-039E-9177-8BC6-D8F0E909351E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5" name="Rechteck 104">
                <a:extLst>
                  <a:ext uri="{FF2B5EF4-FFF2-40B4-BE49-F238E27FC236}">
                    <a16:creationId xmlns:a16="http://schemas.microsoft.com/office/drawing/2014/main" id="{509542CF-E081-6B0A-658B-1341A01378A6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6" name="Flussdiagramm: Alternativer Prozess 105">
                <a:extLst>
                  <a:ext uri="{FF2B5EF4-FFF2-40B4-BE49-F238E27FC236}">
                    <a16:creationId xmlns:a16="http://schemas.microsoft.com/office/drawing/2014/main" id="{8E8BC64E-6260-B153-4A92-CE5206D3E876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7" name="Flussdiagramm: Alternativer Prozess 106">
                <a:extLst>
                  <a:ext uri="{FF2B5EF4-FFF2-40B4-BE49-F238E27FC236}">
                    <a16:creationId xmlns:a16="http://schemas.microsoft.com/office/drawing/2014/main" id="{EB0C7346-A0F6-C594-09C9-9607FE1276EB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8" name="Flussdiagramm: Alternativer Prozess 107">
                <a:extLst>
                  <a:ext uri="{FF2B5EF4-FFF2-40B4-BE49-F238E27FC236}">
                    <a16:creationId xmlns:a16="http://schemas.microsoft.com/office/drawing/2014/main" id="{F871D63E-67BB-082B-5C8A-855763A60880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9" name="Flussdiagramm: Alternativer Prozess 108">
                <a:extLst>
                  <a:ext uri="{FF2B5EF4-FFF2-40B4-BE49-F238E27FC236}">
                    <a16:creationId xmlns:a16="http://schemas.microsoft.com/office/drawing/2014/main" id="{E6FD6D90-9FC5-F207-9FB9-40D2619148C7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0" name="Flussdiagramm: Alternativer Prozess 109">
                <a:extLst>
                  <a:ext uri="{FF2B5EF4-FFF2-40B4-BE49-F238E27FC236}">
                    <a16:creationId xmlns:a16="http://schemas.microsoft.com/office/drawing/2014/main" id="{062BD29B-D781-B9D7-03E1-3409324E4172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1" name="Flussdiagramm: Alternativer Prozess 110">
                <a:extLst>
                  <a:ext uri="{FF2B5EF4-FFF2-40B4-BE49-F238E27FC236}">
                    <a16:creationId xmlns:a16="http://schemas.microsoft.com/office/drawing/2014/main" id="{1B64A4E7-1640-C409-750F-04D20B82C630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2" name="Abgerundetes Rechteck 438">
                <a:extLst>
                  <a:ext uri="{FF2B5EF4-FFF2-40B4-BE49-F238E27FC236}">
                    <a16:creationId xmlns:a16="http://schemas.microsoft.com/office/drawing/2014/main" id="{6DA7C9F7-81B7-5BBA-79AC-3871E9A629A7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sp macro="" textlink="">
          <xdr:nvSpPr>
            <xdr:cNvPr id="27" name="Rechteck 26">
              <a:extLst>
                <a:ext uri="{FF2B5EF4-FFF2-40B4-BE49-F238E27FC236}">
                  <a16:creationId xmlns:a16="http://schemas.microsoft.com/office/drawing/2014/main" id="{31A630CA-5959-0033-E5AF-05CFA397AFAC}"/>
                </a:ext>
              </a:extLst>
            </xdr:cNvPr>
            <xdr:cNvSpPr/>
          </xdr:nvSpPr>
          <xdr:spPr>
            <a:xfrm>
              <a:off x="13746163" y="5443537"/>
              <a:ext cx="77787" cy="3822700"/>
            </a:xfrm>
            <a:prstGeom prst="rect">
              <a:avLst/>
            </a:prstGeom>
            <a:gradFill>
              <a:gsLst>
                <a:gs pos="0">
                  <a:srgbClr val="0099CC"/>
                </a:gs>
                <a:gs pos="100000">
                  <a:srgbClr val="FFCC99"/>
                </a:gs>
              </a:gsLst>
              <a:lin ang="5400000" scaled="1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de-DE" sz="1600"/>
            </a:p>
          </xdr:txBody>
        </xdr:sp>
        <xdr:sp macro="" textlink="">
          <xdr:nvSpPr>
            <xdr:cNvPr id="28" name="Rechteck 27">
              <a:extLst>
                <a:ext uri="{FF2B5EF4-FFF2-40B4-BE49-F238E27FC236}">
                  <a16:creationId xmlns:a16="http://schemas.microsoft.com/office/drawing/2014/main" id="{93AAD942-2585-0ED2-F032-1B3EEDBDD03F}"/>
                </a:ext>
              </a:extLst>
            </xdr:cNvPr>
            <xdr:cNvSpPr/>
          </xdr:nvSpPr>
          <xdr:spPr>
            <a:xfrm>
              <a:off x="10871081" y="7097876"/>
              <a:ext cx="430887" cy="700576"/>
            </a:xfrm>
            <a:prstGeom prst="rect">
              <a:avLst/>
            </a:prstGeom>
          </xdr:spPr>
          <xdr:txBody>
            <a:bodyPr vert="vert270" wrap="square">
              <a:spAutoFit/>
            </a:bodyPr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r>
                <a:rPr lang="de-DE" sz="1600" spc="5">
                  <a:solidFill>
                    <a:srgbClr val="777777"/>
                  </a:solidFill>
                  <a:ea typeface="Times New Roman" panose="02020603050405020304" pitchFamily="18" charset="0"/>
                </a:rPr>
                <a:t>Vorlauf</a:t>
              </a:r>
              <a:endParaRPr lang="de-DE" sz="1600"/>
            </a:p>
          </xdr:txBody>
        </xdr:sp>
        <xdr:sp macro="" textlink="">
          <xdr:nvSpPr>
            <xdr:cNvPr id="29" name="Rechteck 28">
              <a:extLst>
                <a:ext uri="{FF2B5EF4-FFF2-40B4-BE49-F238E27FC236}">
                  <a16:creationId xmlns:a16="http://schemas.microsoft.com/office/drawing/2014/main" id="{C6ECA116-8BB4-DFD8-3C78-DEB4FE5F32BB}"/>
                </a:ext>
              </a:extLst>
            </xdr:cNvPr>
            <xdr:cNvSpPr/>
          </xdr:nvSpPr>
          <xdr:spPr>
            <a:xfrm>
              <a:off x="10439174" y="8380412"/>
              <a:ext cx="774700" cy="339725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r>
                <a:rPr lang="de-DE" sz="1600" spc="5">
                  <a:solidFill>
                    <a:srgbClr val="777777"/>
                  </a:solidFill>
                  <a:ea typeface="Times New Roman" panose="02020603050405020304" pitchFamily="18" charset="0"/>
                </a:rPr>
                <a:t>Pumpe</a:t>
              </a:r>
              <a:endParaRPr lang="de-DE" sz="1600"/>
            </a:p>
          </xdr:txBody>
        </xdr:sp>
        <xdr:grpSp>
          <xdr:nvGrpSpPr>
            <xdr:cNvPr id="30" name="Gruppieren 29">
              <a:extLst>
                <a:ext uri="{FF2B5EF4-FFF2-40B4-BE49-F238E27FC236}">
                  <a16:creationId xmlns:a16="http://schemas.microsoft.com/office/drawing/2014/main" id="{32D2AD3B-9309-7548-B773-134F0C0E0DE8}"/>
                </a:ext>
              </a:extLst>
            </xdr:cNvPr>
            <xdr:cNvGrpSpPr>
              <a:grpSpLocks/>
            </xdr:cNvGrpSpPr>
          </xdr:nvGrpSpPr>
          <xdr:grpSpPr bwMode="auto">
            <a:xfrm flipV="1">
              <a:off x="11482293" y="6760890"/>
              <a:ext cx="296863" cy="446087"/>
              <a:chOff x="3817978" y="3990611"/>
              <a:chExt cx="297181" cy="446501"/>
            </a:xfrm>
          </xdr:grpSpPr>
          <xdr:sp macro="" textlink="">
            <xdr:nvSpPr>
              <xdr:cNvPr id="94" name="Shape 1374">
                <a:extLst>
                  <a:ext uri="{FF2B5EF4-FFF2-40B4-BE49-F238E27FC236}">
                    <a16:creationId xmlns:a16="http://schemas.microsoft.com/office/drawing/2014/main" id="{7BC6E6D2-9973-6BA2-F4C5-E567F725DE25}"/>
                  </a:ext>
                </a:extLst>
              </xdr:cNvPr>
              <xdr:cNvSpPr/>
            </xdr:nvSpPr>
            <xdr:spPr>
              <a:xfrm>
                <a:off x="3967363" y="4225779"/>
                <a:ext cx="143028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5" name="Shape 1375">
                <a:extLst>
                  <a:ext uri="{FF2B5EF4-FFF2-40B4-BE49-F238E27FC236}">
                    <a16:creationId xmlns:a16="http://schemas.microsoft.com/office/drawing/2014/main" id="{FE695DDE-975D-DC50-72C4-010B6386C470}"/>
                  </a:ext>
                </a:extLst>
              </xdr:cNvPr>
              <xdr:cNvSpPr/>
            </xdr:nvSpPr>
            <xdr:spPr>
              <a:xfrm>
                <a:off x="3822746" y="4225779"/>
                <a:ext cx="144617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6" name="Shape 1376">
                <a:extLst>
                  <a:ext uri="{FF2B5EF4-FFF2-40B4-BE49-F238E27FC236}">
                    <a16:creationId xmlns:a16="http://schemas.microsoft.com/office/drawing/2014/main" id="{28450535-5096-959D-70E2-F3214771A9E2}"/>
                  </a:ext>
                </a:extLst>
              </xdr:cNvPr>
              <xdr:cNvSpPr/>
            </xdr:nvSpPr>
            <xdr:spPr>
              <a:xfrm>
                <a:off x="3817978" y="4216245"/>
                <a:ext cx="74693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7" name="Shape 1377">
                <a:extLst>
                  <a:ext uri="{FF2B5EF4-FFF2-40B4-BE49-F238E27FC236}">
                    <a16:creationId xmlns:a16="http://schemas.microsoft.com/office/drawing/2014/main" id="{2E0FC06E-1C9F-6954-9307-83677BC92D5D}"/>
                  </a:ext>
                </a:extLst>
              </xdr:cNvPr>
              <xdr:cNvSpPr/>
            </xdr:nvSpPr>
            <xdr:spPr>
              <a:xfrm>
                <a:off x="3892671" y="4268681"/>
                <a:ext cx="147795" cy="115996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8" name="Shape 1378">
                <a:extLst>
                  <a:ext uri="{FF2B5EF4-FFF2-40B4-BE49-F238E27FC236}">
                    <a16:creationId xmlns:a16="http://schemas.microsoft.com/office/drawing/2014/main" id="{A8BB0A31-6A18-586B-54A8-528C5718677E}"/>
                  </a:ext>
                </a:extLst>
              </xdr:cNvPr>
              <xdr:cNvSpPr/>
            </xdr:nvSpPr>
            <xdr:spPr>
              <a:xfrm>
                <a:off x="4040466" y="4216245"/>
                <a:ext cx="74693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9" name="Shape 60596">
                <a:extLst>
                  <a:ext uri="{FF2B5EF4-FFF2-40B4-BE49-F238E27FC236}">
                    <a16:creationId xmlns:a16="http://schemas.microsoft.com/office/drawing/2014/main" id="{CFC7E82C-FECC-3A89-7438-403E582E62A8}"/>
                  </a:ext>
                </a:extLst>
              </xdr:cNvPr>
              <xdr:cNvSpPr/>
            </xdr:nvSpPr>
            <xdr:spPr>
              <a:xfrm>
                <a:off x="3948292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00" name="Shape 60597">
                <a:extLst>
                  <a:ext uri="{FF2B5EF4-FFF2-40B4-BE49-F238E27FC236}">
                    <a16:creationId xmlns:a16="http://schemas.microsoft.com/office/drawing/2014/main" id="{3AF5B16F-1D47-EF9A-E59A-2022AB0C9A49}"/>
                  </a:ext>
                </a:extLst>
              </xdr:cNvPr>
              <xdr:cNvSpPr/>
            </xdr:nvSpPr>
            <xdr:spPr>
              <a:xfrm>
                <a:off x="3872011" y="4119317"/>
                <a:ext cx="189115" cy="55615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01" name="Shape 60598">
                <a:extLst>
                  <a:ext uri="{FF2B5EF4-FFF2-40B4-BE49-F238E27FC236}">
                    <a16:creationId xmlns:a16="http://schemas.microsoft.com/office/drawing/2014/main" id="{58E9E769-CE36-A3DA-2078-B3D4C1D951E6}"/>
                  </a:ext>
                </a:extLst>
              </xdr:cNvPr>
              <xdr:cNvSpPr/>
            </xdr:nvSpPr>
            <xdr:spPr>
              <a:xfrm>
                <a:off x="3884724" y="3995377"/>
                <a:ext cx="154153" cy="154131"/>
              </a:xfrm>
              <a:custGeom>
                <a:avLst/>
                <a:gdLst/>
                <a:ahLst/>
                <a:cxnLst/>
                <a:rect l="0" t="0" r="0" b="0"/>
                <a:pathLst>
                  <a:path w="153924" h="153924">
                    <a:moveTo>
                      <a:pt x="0" y="0"/>
                    </a:moveTo>
                    <a:lnTo>
                      <a:pt x="153924" y="0"/>
                    </a:lnTo>
                    <a:lnTo>
                      <a:pt x="153924" y="153924"/>
                    </a:lnTo>
                    <a:lnTo>
                      <a:pt x="0" y="153924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02" name="Shape 1382">
                <a:extLst>
                  <a:ext uri="{FF2B5EF4-FFF2-40B4-BE49-F238E27FC236}">
                    <a16:creationId xmlns:a16="http://schemas.microsoft.com/office/drawing/2014/main" id="{A62E0D77-572F-5E6C-BE6A-FAEA063870E8}"/>
                  </a:ext>
                </a:extLst>
              </xdr:cNvPr>
              <xdr:cNvSpPr/>
            </xdr:nvSpPr>
            <xdr:spPr>
              <a:xfrm>
                <a:off x="3879957" y="3990611"/>
                <a:ext cx="82638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03" name="Shape 1383">
                <a:extLst>
                  <a:ext uri="{FF2B5EF4-FFF2-40B4-BE49-F238E27FC236}">
                    <a16:creationId xmlns:a16="http://schemas.microsoft.com/office/drawing/2014/main" id="{E7B1C7BF-A12B-5B90-408A-E77069D476DB}"/>
                  </a:ext>
                </a:extLst>
              </xdr:cNvPr>
              <xdr:cNvSpPr/>
            </xdr:nvSpPr>
            <xdr:spPr>
              <a:xfrm>
                <a:off x="3962596" y="3990611"/>
                <a:ext cx="8104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grpSp>
          <xdr:nvGrpSpPr>
            <xdr:cNvPr id="31" name="Gruppieren 30">
              <a:extLst>
                <a:ext uri="{FF2B5EF4-FFF2-40B4-BE49-F238E27FC236}">
                  <a16:creationId xmlns:a16="http://schemas.microsoft.com/office/drawing/2014/main" id="{4276D85C-0C88-CC4E-901A-547F15617851}"/>
                </a:ext>
              </a:extLst>
            </xdr:cNvPr>
            <xdr:cNvGrpSpPr>
              <a:grpSpLocks/>
            </xdr:cNvGrpSpPr>
          </xdr:nvGrpSpPr>
          <xdr:grpSpPr bwMode="auto">
            <a:xfrm flipV="1">
              <a:off x="11474345" y="4851591"/>
              <a:ext cx="296861" cy="446087"/>
              <a:chOff x="3817978" y="3990611"/>
              <a:chExt cx="297181" cy="446501"/>
            </a:xfrm>
          </xdr:grpSpPr>
          <xdr:sp macro="" textlink="">
            <xdr:nvSpPr>
              <xdr:cNvPr id="84" name="Shape 1374">
                <a:extLst>
                  <a:ext uri="{FF2B5EF4-FFF2-40B4-BE49-F238E27FC236}">
                    <a16:creationId xmlns:a16="http://schemas.microsoft.com/office/drawing/2014/main" id="{C4737E44-D03E-2217-AB84-09E0E855EFF0}"/>
                  </a:ext>
                </a:extLst>
              </xdr:cNvPr>
              <xdr:cNvSpPr/>
            </xdr:nvSpPr>
            <xdr:spPr>
              <a:xfrm>
                <a:off x="3967363" y="4225779"/>
                <a:ext cx="143029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5" name="Shape 1375">
                <a:extLst>
                  <a:ext uri="{FF2B5EF4-FFF2-40B4-BE49-F238E27FC236}">
                    <a16:creationId xmlns:a16="http://schemas.microsoft.com/office/drawing/2014/main" id="{798A344B-BB13-39D0-4952-A0B3CB2D5891}"/>
                  </a:ext>
                </a:extLst>
              </xdr:cNvPr>
              <xdr:cNvSpPr/>
            </xdr:nvSpPr>
            <xdr:spPr>
              <a:xfrm>
                <a:off x="3822745" y="4225779"/>
                <a:ext cx="144618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6" name="Shape 1376">
                <a:extLst>
                  <a:ext uri="{FF2B5EF4-FFF2-40B4-BE49-F238E27FC236}">
                    <a16:creationId xmlns:a16="http://schemas.microsoft.com/office/drawing/2014/main" id="{6BD12FEF-718D-A64A-69D4-40978F9F0BF5}"/>
                  </a:ext>
                </a:extLst>
              </xdr:cNvPr>
              <xdr:cNvSpPr/>
            </xdr:nvSpPr>
            <xdr:spPr>
              <a:xfrm>
                <a:off x="3817978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7" name="Shape 1377">
                <a:extLst>
                  <a:ext uri="{FF2B5EF4-FFF2-40B4-BE49-F238E27FC236}">
                    <a16:creationId xmlns:a16="http://schemas.microsoft.com/office/drawing/2014/main" id="{DF67CE0A-B59D-5643-90C5-DD3B77E16D4C}"/>
                  </a:ext>
                </a:extLst>
              </xdr:cNvPr>
              <xdr:cNvSpPr/>
            </xdr:nvSpPr>
            <xdr:spPr>
              <a:xfrm>
                <a:off x="3892670" y="4268681"/>
                <a:ext cx="147797" cy="115996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8" name="Shape 1378">
                <a:extLst>
                  <a:ext uri="{FF2B5EF4-FFF2-40B4-BE49-F238E27FC236}">
                    <a16:creationId xmlns:a16="http://schemas.microsoft.com/office/drawing/2014/main" id="{4CA69DFC-42B5-31C5-89FA-633ABA4F6151}"/>
                  </a:ext>
                </a:extLst>
              </xdr:cNvPr>
              <xdr:cNvSpPr/>
            </xdr:nvSpPr>
            <xdr:spPr>
              <a:xfrm>
                <a:off x="4040467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9" name="Shape 60596">
                <a:extLst>
                  <a:ext uri="{FF2B5EF4-FFF2-40B4-BE49-F238E27FC236}">
                    <a16:creationId xmlns:a16="http://schemas.microsoft.com/office/drawing/2014/main" id="{0FDCBE53-61D2-7DFA-7544-D0FE28F4C8F0}"/>
                  </a:ext>
                </a:extLst>
              </xdr:cNvPr>
              <xdr:cNvSpPr/>
            </xdr:nvSpPr>
            <xdr:spPr>
              <a:xfrm>
                <a:off x="3948293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0" name="Shape 60597">
                <a:extLst>
                  <a:ext uri="{FF2B5EF4-FFF2-40B4-BE49-F238E27FC236}">
                    <a16:creationId xmlns:a16="http://schemas.microsoft.com/office/drawing/2014/main" id="{54D3F0A6-2E91-802A-EE0E-7475896135ED}"/>
                  </a:ext>
                </a:extLst>
              </xdr:cNvPr>
              <xdr:cNvSpPr/>
            </xdr:nvSpPr>
            <xdr:spPr>
              <a:xfrm>
                <a:off x="3872011" y="4119317"/>
                <a:ext cx="189115" cy="55615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1" name="Shape 60598">
                <a:extLst>
                  <a:ext uri="{FF2B5EF4-FFF2-40B4-BE49-F238E27FC236}">
                    <a16:creationId xmlns:a16="http://schemas.microsoft.com/office/drawing/2014/main" id="{3380FFE5-E4FE-9A27-8B6C-76C1C1AA8A8F}"/>
                  </a:ext>
                </a:extLst>
              </xdr:cNvPr>
              <xdr:cNvSpPr/>
            </xdr:nvSpPr>
            <xdr:spPr>
              <a:xfrm>
                <a:off x="3884725" y="3995377"/>
                <a:ext cx="154152" cy="154131"/>
              </a:xfrm>
              <a:custGeom>
                <a:avLst/>
                <a:gdLst/>
                <a:ahLst/>
                <a:cxnLst/>
                <a:rect l="0" t="0" r="0" b="0"/>
                <a:pathLst>
                  <a:path w="153924" h="153924">
                    <a:moveTo>
                      <a:pt x="0" y="0"/>
                    </a:moveTo>
                    <a:lnTo>
                      <a:pt x="153924" y="0"/>
                    </a:lnTo>
                    <a:lnTo>
                      <a:pt x="153924" y="153924"/>
                    </a:lnTo>
                    <a:lnTo>
                      <a:pt x="0" y="153924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2" name="Shape 1382">
                <a:extLst>
                  <a:ext uri="{FF2B5EF4-FFF2-40B4-BE49-F238E27FC236}">
                    <a16:creationId xmlns:a16="http://schemas.microsoft.com/office/drawing/2014/main" id="{56C2FE40-92CC-A876-0233-4FCA305DB2C1}"/>
                  </a:ext>
                </a:extLst>
              </xdr:cNvPr>
              <xdr:cNvSpPr/>
            </xdr:nvSpPr>
            <xdr:spPr>
              <a:xfrm>
                <a:off x="3879957" y="3990611"/>
                <a:ext cx="8263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3" name="Shape 1383">
                <a:extLst>
                  <a:ext uri="{FF2B5EF4-FFF2-40B4-BE49-F238E27FC236}">
                    <a16:creationId xmlns:a16="http://schemas.microsoft.com/office/drawing/2014/main" id="{51B401D5-FA1B-8574-29ED-F007C3E39458}"/>
                  </a:ext>
                </a:extLst>
              </xdr:cNvPr>
              <xdr:cNvSpPr/>
            </xdr:nvSpPr>
            <xdr:spPr>
              <a:xfrm>
                <a:off x="3962595" y="3990611"/>
                <a:ext cx="81050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grpSp>
          <xdr:nvGrpSpPr>
            <xdr:cNvPr id="32" name="Gruppieren 31">
              <a:extLst>
                <a:ext uri="{FF2B5EF4-FFF2-40B4-BE49-F238E27FC236}">
                  <a16:creationId xmlns:a16="http://schemas.microsoft.com/office/drawing/2014/main" id="{B72CD5EC-AE32-D06A-F06F-3EEDDD88B80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377363" y="8023225"/>
              <a:ext cx="901700" cy="179387"/>
              <a:chOff x="1604298" y="4411181"/>
              <a:chExt cx="901284" cy="179820"/>
            </a:xfrm>
          </xdr:grpSpPr>
          <xdr:sp macro="" textlink="">
            <xdr:nvSpPr>
              <xdr:cNvPr id="77" name="Shape 60619">
                <a:extLst>
                  <a:ext uri="{FF2B5EF4-FFF2-40B4-BE49-F238E27FC236}">
                    <a16:creationId xmlns:a16="http://schemas.microsoft.com/office/drawing/2014/main" id="{2C4D9395-E546-C5A1-DF8A-3498A5E8C9D5}"/>
                  </a:ext>
                </a:extLst>
              </xdr:cNvPr>
              <xdr:cNvSpPr/>
            </xdr:nvSpPr>
            <xdr:spPr>
              <a:xfrm>
                <a:off x="1604298" y="4411181"/>
                <a:ext cx="901284" cy="179820"/>
              </a:xfrm>
              <a:custGeom>
                <a:avLst/>
                <a:gdLst/>
                <a:ahLst/>
                <a:cxnLst/>
                <a:rect l="0" t="0" r="0" b="0"/>
                <a:pathLst>
                  <a:path w="358140" h="179832">
                    <a:moveTo>
                      <a:pt x="0" y="0"/>
                    </a:moveTo>
                    <a:lnTo>
                      <a:pt x="358140" y="0"/>
                    </a:lnTo>
                    <a:lnTo>
                      <a:pt x="358140" y="179832"/>
                    </a:lnTo>
                    <a:lnTo>
                      <a:pt x="0" y="179832"/>
                    </a:lnTo>
                    <a:lnTo>
                      <a:pt x="0" y="0"/>
                    </a:lnTo>
                  </a:path>
                </a:pathLst>
              </a:custGeom>
              <a:solidFill>
                <a:schemeClr val="bg1">
                  <a:lumMod val="75000"/>
                </a:schemeClr>
              </a:solidFill>
              <a:ln w="0" cap="flat">
                <a:solidFill>
                  <a:schemeClr val="tx1"/>
                </a:solidFill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EAEAEA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78" name="Flussdiagramm: Prozess 77">
                <a:extLst>
                  <a:ext uri="{FF2B5EF4-FFF2-40B4-BE49-F238E27FC236}">
                    <a16:creationId xmlns:a16="http://schemas.microsoft.com/office/drawing/2014/main" id="{343726AE-2A3B-975F-E57D-D8D8F97FEE1B}"/>
                  </a:ext>
                </a:extLst>
              </xdr:cNvPr>
              <xdr:cNvSpPr/>
            </xdr:nvSpPr>
            <xdr:spPr>
              <a:xfrm>
                <a:off x="1666181" y="4450964"/>
                <a:ext cx="150743" cy="63653"/>
              </a:xfrm>
              <a:prstGeom prst="flowChartProcess">
                <a:avLst/>
              </a:prstGeom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79" name="Flussdiagramm: Prozess 78">
                <a:extLst>
                  <a:ext uri="{FF2B5EF4-FFF2-40B4-BE49-F238E27FC236}">
                    <a16:creationId xmlns:a16="http://schemas.microsoft.com/office/drawing/2014/main" id="{28DA3E63-E978-587F-B3C3-D77185935EBF}"/>
                  </a:ext>
                </a:extLst>
              </xdr:cNvPr>
              <xdr:cNvSpPr/>
            </xdr:nvSpPr>
            <xdr:spPr>
              <a:xfrm>
                <a:off x="1881982" y="4481200"/>
                <a:ext cx="46017" cy="65244"/>
              </a:xfrm>
              <a:prstGeom prst="flowChartProcess">
                <a:avLst/>
              </a:prstGeom>
              <a:solidFill>
                <a:schemeClr val="tx1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80" name="Flussdiagramm: Prozess 79">
                <a:extLst>
                  <a:ext uri="{FF2B5EF4-FFF2-40B4-BE49-F238E27FC236}">
                    <a16:creationId xmlns:a16="http://schemas.microsoft.com/office/drawing/2014/main" id="{13A7BDB1-B66D-ADD6-E5A2-40154B6430AC}"/>
                  </a:ext>
                </a:extLst>
              </xdr:cNvPr>
              <xdr:cNvSpPr/>
            </xdr:nvSpPr>
            <xdr:spPr>
              <a:xfrm>
                <a:off x="1958147" y="4481200"/>
                <a:ext cx="46017" cy="65244"/>
              </a:xfrm>
              <a:prstGeom prst="flowChartProcess">
                <a:avLst/>
              </a:prstGeom>
              <a:solidFill>
                <a:schemeClr val="tx1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81" name="Flussdiagramm: Prozess 80">
                <a:extLst>
                  <a:ext uri="{FF2B5EF4-FFF2-40B4-BE49-F238E27FC236}">
                    <a16:creationId xmlns:a16="http://schemas.microsoft.com/office/drawing/2014/main" id="{232E4FB9-79A8-2CFC-C7B0-E4D34F76BD9B}"/>
                  </a:ext>
                </a:extLst>
              </xdr:cNvPr>
              <xdr:cNvSpPr/>
            </xdr:nvSpPr>
            <xdr:spPr>
              <a:xfrm>
                <a:off x="2031138" y="4481200"/>
                <a:ext cx="46017" cy="65244"/>
              </a:xfrm>
              <a:prstGeom prst="flowChartProcess">
                <a:avLst/>
              </a:prstGeom>
              <a:solidFill>
                <a:schemeClr val="tx1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82" name="Ellipse 81">
                <a:extLst>
                  <a:ext uri="{FF2B5EF4-FFF2-40B4-BE49-F238E27FC236}">
                    <a16:creationId xmlns:a16="http://schemas.microsoft.com/office/drawing/2014/main" id="{6DAA2A76-1405-280A-5A97-F0BE144EDE59}"/>
                  </a:ext>
                </a:extLst>
              </xdr:cNvPr>
              <xdr:cNvSpPr/>
            </xdr:nvSpPr>
            <xdr:spPr>
              <a:xfrm>
                <a:off x="2153320" y="4465286"/>
                <a:ext cx="44429" cy="44557"/>
              </a:xfrm>
              <a:prstGeom prst="ellipse">
                <a:avLst/>
              </a:prstGeom>
              <a:solidFill>
                <a:srgbClr val="FF0000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83" name="Ellipse 82">
                <a:extLst>
                  <a:ext uri="{FF2B5EF4-FFF2-40B4-BE49-F238E27FC236}">
                    <a16:creationId xmlns:a16="http://schemas.microsoft.com/office/drawing/2014/main" id="{A463CF9C-9E71-B793-3389-79CAF385F83C}"/>
                  </a:ext>
                </a:extLst>
              </xdr:cNvPr>
              <xdr:cNvSpPr/>
            </xdr:nvSpPr>
            <xdr:spPr>
              <a:xfrm>
                <a:off x="2223137" y="4465286"/>
                <a:ext cx="46016" cy="44557"/>
              </a:xfrm>
              <a:prstGeom prst="ellipse">
                <a:avLst/>
              </a:prstGeom>
              <a:solidFill>
                <a:srgbClr val="FF0000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</xdr:grpSp>
        <xdr:sp macro="" textlink="">
          <xdr:nvSpPr>
            <xdr:cNvPr id="33" name="Rechteck 32">
              <a:extLst>
                <a:ext uri="{FF2B5EF4-FFF2-40B4-BE49-F238E27FC236}">
                  <a16:creationId xmlns:a16="http://schemas.microsoft.com/office/drawing/2014/main" id="{4985225B-F901-0077-A144-C873072EEF1C}"/>
                </a:ext>
              </a:extLst>
            </xdr:cNvPr>
            <xdr:cNvSpPr/>
          </xdr:nvSpPr>
          <xdr:spPr>
            <a:xfrm flipH="1">
              <a:off x="9525000" y="6853524"/>
              <a:ext cx="1905000" cy="82917"/>
            </a:xfrm>
            <a:prstGeom prst="rect">
              <a:avLst/>
            </a:prstGeom>
            <a:solidFill>
              <a:srgbClr val="C9B8CB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de-DE" sz="1600"/>
            </a:p>
          </xdr:txBody>
        </xdr:sp>
        <xdr:sp macro="" textlink="">
          <xdr:nvSpPr>
            <xdr:cNvPr id="34" name="Shape 60555">
              <a:extLst>
                <a:ext uri="{FF2B5EF4-FFF2-40B4-BE49-F238E27FC236}">
                  <a16:creationId xmlns:a16="http://schemas.microsoft.com/office/drawing/2014/main" id="{77378F89-E4D5-777C-9E85-2D23C83D35AC}"/>
                </a:ext>
              </a:extLst>
            </xdr:cNvPr>
            <xdr:cNvSpPr/>
          </xdr:nvSpPr>
          <xdr:spPr>
            <a:xfrm flipH="1">
              <a:off x="9155205" y="4974515"/>
              <a:ext cx="2263589" cy="45719"/>
            </a:xfrm>
            <a:custGeom>
              <a:avLst/>
              <a:gdLst/>
              <a:ahLst/>
              <a:cxnLst/>
              <a:rect l="0" t="0" r="0" b="0"/>
              <a:pathLst>
                <a:path w="827532" h="73152">
                  <a:moveTo>
                    <a:pt x="0" y="0"/>
                  </a:moveTo>
                  <a:lnTo>
                    <a:pt x="827532" y="0"/>
                  </a:lnTo>
                  <a:lnTo>
                    <a:pt x="827532" y="73152"/>
                  </a:lnTo>
                  <a:lnTo>
                    <a:pt x="0" y="73152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99CCFF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grpSp>
          <xdr:nvGrpSpPr>
            <xdr:cNvPr id="35" name="Gruppieren 34">
              <a:extLst>
                <a:ext uri="{FF2B5EF4-FFF2-40B4-BE49-F238E27FC236}">
                  <a16:creationId xmlns:a16="http://schemas.microsoft.com/office/drawing/2014/main" id="{F60478E9-1F42-C4A4-D97A-7205B9F91DDD}"/>
                </a:ext>
              </a:extLst>
            </xdr:cNvPr>
            <xdr:cNvGrpSpPr/>
          </xdr:nvGrpSpPr>
          <xdr:grpSpPr>
            <a:xfrm flipH="1">
              <a:off x="8422366" y="6738496"/>
              <a:ext cx="800296" cy="697646"/>
              <a:chOff x="2771800" y="1052736"/>
              <a:chExt cx="4138716" cy="4985651"/>
            </a:xfrm>
            <a:gradFill>
              <a:gsLst>
                <a:gs pos="0">
                  <a:srgbClr val="C9B8CB"/>
                </a:gs>
                <a:gs pos="100000">
                  <a:srgbClr val="A2B9C2"/>
                </a:gs>
              </a:gsLst>
              <a:lin ang="5400000" scaled="1"/>
            </a:gradFill>
          </xdr:grpSpPr>
          <xdr:sp macro="" textlink="">
            <xdr:nvSpPr>
              <xdr:cNvPr id="68" name="Rechteck 67">
                <a:extLst>
                  <a:ext uri="{FF2B5EF4-FFF2-40B4-BE49-F238E27FC236}">
                    <a16:creationId xmlns:a16="http://schemas.microsoft.com/office/drawing/2014/main" id="{913188F2-7C08-BD0A-A99E-DB1B0C15C75F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9" name="Rechteck 68">
                <a:extLst>
                  <a:ext uri="{FF2B5EF4-FFF2-40B4-BE49-F238E27FC236}">
                    <a16:creationId xmlns:a16="http://schemas.microsoft.com/office/drawing/2014/main" id="{8D28F8AD-CEC9-6F20-FE21-7517D2628EB4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0" name="Flussdiagramm: Alternativer Prozess 69">
                <a:extLst>
                  <a:ext uri="{FF2B5EF4-FFF2-40B4-BE49-F238E27FC236}">
                    <a16:creationId xmlns:a16="http://schemas.microsoft.com/office/drawing/2014/main" id="{2DCFE03C-C917-B947-17E8-F799D96F3268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1" name="Flussdiagramm: Alternativer Prozess 70">
                <a:extLst>
                  <a:ext uri="{FF2B5EF4-FFF2-40B4-BE49-F238E27FC236}">
                    <a16:creationId xmlns:a16="http://schemas.microsoft.com/office/drawing/2014/main" id="{816CEF54-C050-FAC3-1A76-45229F8D524C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2" name="Flussdiagramm: Alternativer Prozess 71">
                <a:extLst>
                  <a:ext uri="{FF2B5EF4-FFF2-40B4-BE49-F238E27FC236}">
                    <a16:creationId xmlns:a16="http://schemas.microsoft.com/office/drawing/2014/main" id="{0CDFFAFB-E16E-9773-74AE-572EC5969232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3" name="Flussdiagramm: Alternativer Prozess 72">
                <a:extLst>
                  <a:ext uri="{FF2B5EF4-FFF2-40B4-BE49-F238E27FC236}">
                    <a16:creationId xmlns:a16="http://schemas.microsoft.com/office/drawing/2014/main" id="{D7AA1E01-489E-CA72-EB9D-1DECC7A1296B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4" name="Flussdiagramm: Alternativer Prozess 73">
                <a:extLst>
                  <a:ext uri="{FF2B5EF4-FFF2-40B4-BE49-F238E27FC236}">
                    <a16:creationId xmlns:a16="http://schemas.microsoft.com/office/drawing/2014/main" id="{66E5F1C8-2B5D-7A5A-9EFC-BB9ECE3EB6F3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5" name="Flussdiagramm: Alternativer Prozess 74">
                <a:extLst>
                  <a:ext uri="{FF2B5EF4-FFF2-40B4-BE49-F238E27FC236}">
                    <a16:creationId xmlns:a16="http://schemas.microsoft.com/office/drawing/2014/main" id="{E960A9A9-0AA1-060C-0CD3-28A32A7A37EC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6" name="Abgerundetes Rechteck 402">
                <a:extLst>
                  <a:ext uri="{FF2B5EF4-FFF2-40B4-BE49-F238E27FC236}">
                    <a16:creationId xmlns:a16="http://schemas.microsoft.com/office/drawing/2014/main" id="{CA5CD0DF-5362-E536-3548-133909DFCCCC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grpSp>
          <xdr:nvGrpSpPr>
            <xdr:cNvPr id="36" name="Gruppieren 35">
              <a:extLst>
                <a:ext uri="{FF2B5EF4-FFF2-40B4-BE49-F238E27FC236}">
                  <a16:creationId xmlns:a16="http://schemas.microsoft.com/office/drawing/2014/main" id="{25F86014-65D3-AA94-6835-87E5E63BA9B4}"/>
                </a:ext>
              </a:extLst>
            </xdr:cNvPr>
            <xdr:cNvGrpSpPr/>
          </xdr:nvGrpSpPr>
          <xdr:grpSpPr>
            <a:xfrm flipH="1">
              <a:off x="8426816" y="4818529"/>
              <a:ext cx="800296" cy="697646"/>
              <a:chOff x="2771800" y="1052736"/>
              <a:chExt cx="4138716" cy="4985651"/>
            </a:xfrm>
            <a:gradFill>
              <a:gsLst>
                <a:gs pos="0">
                  <a:srgbClr val="99CCFF"/>
                </a:gs>
                <a:gs pos="100000">
                  <a:srgbClr val="0099CC"/>
                </a:gs>
              </a:gsLst>
              <a:lin ang="5400000" scaled="1"/>
            </a:gradFill>
          </xdr:grpSpPr>
          <xdr:sp macro="" textlink="">
            <xdr:nvSpPr>
              <xdr:cNvPr id="59" name="Rechteck 58">
                <a:extLst>
                  <a:ext uri="{FF2B5EF4-FFF2-40B4-BE49-F238E27FC236}">
                    <a16:creationId xmlns:a16="http://schemas.microsoft.com/office/drawing/2014/main" id="{C78A1451-50EB-93EC-AD98-35A771807120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0" name="Rechteck 59">
                <a:extLst>
                  <a:ext uri="{FF2B5EF4-FFF2-40B4-BE49-F238E27FC236}">
                    <a16:creationId xmlns:a16="http://schemas.microsoft.com/office/drawing/2014/main" id="{807792DF-66C4-FC6B-2501-4A124F3234D8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1" name="Flussdiagramm: Alternativer Prozess 60">
                <a:extLst>
                  <a:ext uri="{FF2B5EF4-FFF2-40B4-BE49-F238E27FC236}">
                    <a16:creationId xmlns:a16="http://schemas.microsoft.com/office/drawing/2014/main" id="{86118AE6-6E33-259C-7A10-0EF3BE425348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2" name="Flussdiagramm: Alternativer Prozess 61">
                <a:extLst>
                  <a:ext uri="{FF2B5EF4-FFF2-40B4-BE49-F238E27FC236}">
                    <a16:creationId xmlns:a16="http://schemas.microsoft.com/office/drawing/2014/main" id="{2F7EF80A-4386-58C8-6601-D4D681A92E6A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3" name="Flussdiagramm: Alternativer Prozess 62">
                <a:extLst>
                  <a:ext uri="{FF2B5EF4-FFF2-40B4-BE49-F238E27FC236}">
                    <a16:creationId xmlns:a16="http://schemas.microsoft.com/office/drawing/2014/main" id="{DFC29CAF-35C7-4E61-1CD9-73DCE3B5D222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4" name="Flussdiagramm: Alternativer Prozess 63">
                <a:extLst>
                  <a:ext uri="{FF2B5EF4-FFF2-40B4-BE49-F238E27FC236}">
                    <a16:creationId xmlns:a16="http://schemas.microsoft.com/office/drawing/2014/main" id="{5AB5A9B3-423B-3452-109B-6E4FB923B75B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5" name="Flussdiagramm: Alternativer Prozess 64">
                <a:extLst>
                  <a:ext uri="{FF2B5EF4-FFF2-40B4-BE49-F238E27FC236}">
                    <a16:creationId xmlns:a16="http://schemas.microsoft.com/office/drawing/2014/main" id="{4708E7FB-F048-14F1-11C7-C2369A9AF28C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6" name="Flussdiagramm: Alternativer Prozess 65">
                <a:extLst>
                  <a:ext uri="{FF2B5EF4-FFF2-40B4-BE49-F238E27FC236}">
                    <a16:creationId xmlns:a16="http://schemas.microsoft.com/office/drawing/2014/main" id="{A7C8EE67-B0CA-233C-0553-3E273D97B09D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7" name="Abgerundetes Rechteck 393">
                <a:extLst>
                  <a:ext uri="{FF2B5EF4-FFF2-40B4-BE49-F238E27FC236}">
                    <a16:creationId xmlns:a16="http://schemas.microsoft.com/office/drawing/2014/main" id="{56B539F1-236A-3100-39B9-0363488294D4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grpSp>
          <xdr:nvGrpSpPr>
            <xdr:cNvPr id="37" name="Gruppieren 36">
              <a:extLst>
                <a:ext uri="{FF2B5EF4-FFF2-40B4-BE49-F238E27FC236}">
                  <a16:creationId xmlns:a16="http://schemas.microsoft.com/office/drawing/2014/main" id="{8D2B875D-C396-D54F-A3DA-1C1E79F7E6D0}"/>
                </a:ext>
              </a:extLst>
            </xdr:cNvPr>
            <xdr:cNvGrpSpPr>
              <a:grpSpLocks/>
            </xdr:cNvGrpSpPr>
          </xdr:nvGrpSpPr>
          <xdr:grpSpPr bwMode="auto">
            <a:xfrm flipH="1" flipV="1">
              <a:off x="9243065" y="6783863"/>
              <a:ext cx="296863" cy="446087"/>
              <a:chOff x="3817978" y="3990611"/>
              <a:chExt cx="297181" cy="446501"/>
            </a:xfrm>
          </xdr:grpSpPr>
          <xdr:sp macro="" textlink="">
            <xdr:nvSpPr>
              <xdr:cNvPr id="49" name="Shape 1374">
                <a:extLst>
                  <a:ext uri="{FF2B5EF4-FFF2-40B4-BE49-F238E27FC236}">
                    <a16:creationId xmlns:a16="http://schemas.microsoft.com/office/drawing/2014/main" id="{0B240176-54AF-E41B-43C6-F35B2292E09B}"/>
                  </a:ext>
                </a:extLst>
              </xdr:cNvPr>
              <xdr:cNvSpPr/>
            </xdr:nvSpPr>
            <xdr:spPr>
              <a:xfrm>
                <a:off x="3967363" y="4225779"/>
                <a:ext cx="143028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0" name="Shape 1375">
                <a:extLst>
                  <a:ext uri="{FF2B5EF4-FFF2-40B4-BE49-F238E27FC236}">
                    <a16:creationId xmlns:a16="http://schemas.microsoft.com/office/drawing/2014/main" id="{21BBD414-5C0C-3072-1A22-9208688DC140}"/>
                  </a:ext>
                </a:extLst>
              </xdr:cNvPr>
              <xdr:cNvSpPr/>
            </xdr:nvSpPr>
            <xdr:spPr>
              <a:xfrm>
                <a:off x="3822746" y="4225779"/>
                <a:ext cx="144617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1" name="Shape 1376">
                <a:extLst>
                  <a:ext uri="{FF2B5EF4-FFF2-40B4-BE49-F238E27FC236}">
                    <a16:creationId xmlns:a16="http://schemas.microsoft.com/office/drawing/2014/main" id="{82185437-F537-62BA-F38E-87899E09EE0B}"/>
                  </a:ext>
                </a:extLst>
              </xdr:cNvPr>
              <xdr:cNvSpPr/>
            </xdr:nvSpPr>
            <xdr:spPr>
              <a:xfrm>
                <a:off x="3817978" y="4216245"/>
                <a:ext cx="74693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2" name="Shape 1377">
                <a:extLst>
                  <a:ext uri="{FF2B5EF4-FFF2-40B4-BE49-F238E27FC236}">
                    <a16:creationId xmlns:a16="http://schemas.microsoft.com/office/drawing/2014/main" id="{7419C22B-DC56-0C3C-52D1-0E19F2BB031F}"/>
                  </a:ext>
                </a:extLst>
              </xdr:cNvPr>
              <xdr:cNvSpPr/>
            </xdr:nvSpPr>
            <xdr:spPr>
              <a:xfrm>
                <a:off x="3892671" y="4268681"/>
                <a:ext cx="147795" cy="115996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3" name="Shape 1378">
                <a:extLst>
                  <a:ext uri="{FF2B5EF4-FFF2-40B4-BE49-F238E27FC236}">
                    <a16:creationId xmlns:a16="http://schemas.microsoft.com/office/drawing/2014/main" id="{976286DD-6851-AD44-FEE9-1BBC2D8995F6}"/>
                  </a:ext>
                </a:extLst>
              </xdr:cNvPr>
              <xdr:cNvSpPr/>
            </xdr:nvSpPr>
            <xdr:spPr>
              <a:xfrm>
                <a:off x="4040466" y="4216245"/>
                <a:ext cx="74693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4" name="Shape 60596">
                <a:extLst>
                  <a:ext uri="{FF2B5EF4-FFF2-40B4-BE49-F238E27FC236}">
                    <a16:creationId xmlns:a16="http://schemas.microsoft.com/office/drawing/2014/main" id="{9ABED800-C47C-F8A0-C9D2-870EB371DBD9}"/>
                  </a:ext>
                </a:extLst>
              </xdr:cNvPr>
              <xdr:cNvSpPr/>
            </xdr:nvSpPr>
            <xdr:spPr>
              <a:xfrm>
                <a:off x="3948292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5" name="Shape 60597">
                <a:extLst>
                  <a:ext uri="{FF2B5EF4-FFF2-40B4-BE49-F238E27FC236}">
                    <a16:creationId xmlns:a16="http://schemas.microsoft.com/office/drawing/2014/main" id="{8EBC22E1-34B0-BC9A-7585-1AB9372F5631}"/>
                  </a:ext>
                </a:extLst>
              </xdr:cNvPr>
              <xdr:cNvSpPr/>
            </xdr:nvSpPr>
            <xdr:spPr>
              <a:xfrm>
                <a:off x="3872011" y="4119317"/>
                <a:ext cx="189115" cy="55615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6" name="Shape 60598">
                <a:extLst>
                  <a:ext uri="{FF2B5EF4-FFF2-40B4-BE49-F238E27FC236}">
                    <a16:creationId xmlns:a16="http://schemas.microsoft.com/office/drawing/2014/main" id="{5CB1C521-97E7-0881-50A5-6C08A8FA5DB9}"/>
                  </a:ext>
                </a:extLst>
              </xdr:cNvPr>
              <xdr:cNvSpPr/>
            </xdr:nvSpPr>
            <xdr:spPr>
              <a:xfrm>
                <a:off x="3884724" y="3995377"/>
                <a:ext cx="154153" cy="154131"/>
              </a:xfrm>
              <a:custGeom>
                <a:avLst/>
                <a:gdLst/>
                <a:ahLst/>
                <a:cxnLst/>
                <a:rect l="0" t="0" r="0" b="0"/>
                <a:pathLst>
                  <a:path w="153924" h="153924">
                    <a:moveTo>
                      <a:pt x="0" y="0"/>
                    </a:moveTo>
                    <a:lnTo>
                      <a:pt x="153924" y="0"/>
                    </a:lnTo>
                    <a:lnTo>
                      <a:pt x="153924" y="153924"/>
                    </a:lnTo>
                    <a:lnTo>
                      <a:pt x="0" y="153924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7" name="Shape 1382">
                <a:extLst>
                  <a:ext uri="{FF2B5EF4-FFF2-40B4-BE49-F238E27FC236}">
                    <a16:creationId xmlns:a16="http://schemas.microsoft.com/office/drawing/2014/main" id="{EF39086A-7944-3C9D-D666-DC7BA9EA7B6F}"/>
                  </a:ext>
                </a:extLst>
              </xdr:cNvPr>
              <xdr:cNvSpPr/>
            </xdr:nvSpPr>
            <xdr:spPr>
              <a:xfrm>
                <a:off x="3879957" y="3990611"/>
                <a:ext cx="82638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8" name="Shape 1383">
                <a:extLst>
                  <a:ext uri="{FF2B5EF4-FFF2-40B4-BE49-F238E27FC236}">
                    <a16:creationId xmlns:a16="http://schemas.microsoft.com/office/drawing/2014/main" id="{F754DB20-61A8-DE04-BF4D-C733001F8527}"/>
                  </a:ext>
                </a:extLst>
              </xdr:cNvPr>
              <xdr:cNvSpPr/>
            </xdr:nvSpPr>
            <xdr:spPr>
              <a:xfrm>
                <a:off x="3962596" y="3990611"/>
                <a:ext cx="8104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grpSp>
          <xdr:nvGrpSpPr>
            <xdr:cNvPr id="38" name="Gruppieren 37">
              <a:extLst>
                <a:ext uri="{FF2B5EF4-FFF2-40B4-BE49-F238E27FC236}">
                  <a16:creationId xmlns:a16="http://schemas.microsoft.com/office/drawing/2014/main" id="{27FBA032-3272-AB33-C96A-6A059B3FAC25}"/>
                </a:ext>
              </a:extLst>
            </xdr:cNvPr>
            <xdr:cNvGrpSpPr>
              <a:grpSpLocks/>
            </xdr:cNvGrpSpPr>
          </xdr:nvGrpSpPr>
          <xdr:grpSpPr bwMode="auto">
            <a:xfrm flipH="1" flipV="1">
              <a:off x="9251015" y="4885770"/>
              <a:ext cx="296861" cy="446087"/>
              <a:chOff x="3817978" y="3990611"/>
              <a:chExt cx="297181" cy="446501"/>
            </a:xfrm>
          </xdr:grpSpPr>
          <xdr:sp macro="" textlink="">
            <xdr:nvSpPr>
              <xdr:cNvPr id="39" name="Shape 1374">
                <a:extLst>
                  <a:ext uri="{FF2B5EF4-FFF2-40B4-BE49-F238E27FC236}">
                    <a16:creationId xmlns:a16="http://schemas.microsoft.com/office/drawing/2014/main" id="{70A07C4B-BBB4-60F9-FE3F-78AD3C8C92F0}"/>
                  </a:ext>
                </a:extLst>
              </xdr:cNvPr>
              <xdr:cNvSpPr/>
            </xdr:nvSpPr>
            <xdr:spPr>
              <a:xfrm>
                <a:off x="3967363" y="4225779"/>
                <a:ext cx="143029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0" name="Shape 1375">
                <a:extLst>
                  <a:ext uri="{FF2B5EF4-FFF2-40B4-BE49-F238E27FC236}">
                    <a16:creationId xmlns:a16="http://schemas.microsoft.com/office/drawing/2014/main" id="{1E3CCE33-C89D-703E-D379-7A1FBB2142F4}"/>
                  </a:ext>
                </a:extLst>
              </xdr:cNvPr>
              <xdr:cNvSpPr/>
            </xdr:nvSpPr>
            <xdr:spPr>
              <a:xfrm>
                <a:off x="3822745" y="4225779"/>
                <a:ext cx="144618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1" name="Shape 1376">
                <a:extLst>
                  <a:ext uri="{FF2B5EF4-FFF2-40B4-BE49-F238E27FC236}">
                    <a16:creationId xmlns:a16="http://schemas.microsoft.com/office/drawing/2014/main" id="{CDCD5612-E104-6EBC-D932-BC43977DA09F}"/>
                  </a:ext>
                </a:extLst>
              </xdr:cNvPr>
              <xdr:cNvSpPr/>
            </xdr:nvSpPr>
            <xdr:spPr>
              <a:xfrm>
                <a:off x="3817978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2" name="Shape 1377">
                <a:extLst>
                  <a:ext uri="{FF2B5EF4-FFF2-40B4-BE49-F238E27FC236}">
                    <a16:creationId xmlns:a16="http://schemas.microsoft.com/office/drawing/2014/main" id="{4483572C-6BBD-0D1B-10F2-D66DF7744D5F}"/>
                  </a:ext>
                </a:extLst>
              </xdr:cNvPr>
              <xdr:cNvSpPr/>
            </xdr:nvSpPr>
            <xdr:spPr>
              <a:xfrm>
                <a:off x="3892670" y="4268681"/>
                <a:ext cx="147797" cy="115996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3" name="Shape 1378">
                <a:extLst>
                  <a:ext uri="{FF2B5EF4-FFF2-40B4-BE49-F238E27FC236}">
                    <a16:creationId xmlns:a16="http://schemas.microsoft.com/office/drawing/2014/main" id="{85EC8A79-D67F-A9E8-14A7-A6ED84EAD6EA}"/>
                  </a:ext>
                </a:extLst>
              </xdr:cNvPr>
              <xdr:cNvSpPr/>
            </xdr:nvSpPr>
            <xdr:spPr>
              <a:xfrm>
                <a:off x="4040467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4" name="Shape 60596">
                <a:extLst>
                  <a:ext uri="{FF2B5EF4-FFF2-40B4-BE49-F238E27FC236}">
                    <a16:creationId xmlns:a16="http://schemas.microsoft.com/office/drawing/2014/main" id="{4E603963-7BFC-321F-FCE2-C0386D603C58}"/>
                  </a:ext>
                </a:extLst>
              </xdr:cNvPr>
              <xdr:cNvSpPr/>
            </xdr:nvSpPr>
            <xdr:spPr>
              <a:xfrm>
                <a:off x="3948293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5" name="Shape 60597">
                <a:extLst>
                  <a:ext uri="{FF2B5EF4-FFF2-40B4-BE49-F238E27FC236}">
                    <a16:creationId xmlns:a16="http://schemas.microsoft.com/office/drawing/2014/main" id="{5DCEA4D3-6422-A942-7342-F8759D6ECE3F}"/>
                  </a:ext>
                </a:extLst>
              </xdr:cNvPr>
              <xdr:cNvSpPr/>
            </xdr:nvSpPr>
            <xdr:spPr>
              <a:xfrm>
                <a:off x="3872011" y="4119317"/>
                <a:ext cx="189115" cy="55615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6" name="Shape 60598">
                <a:extLst>
                  <a:ext uri="{FF2B5EF4-FFF2-40B4-BE49-F238E27FC236}">
                    <a16:creationId xmlns:a16="http://schemas.microsoft.com/office/drawing/2014/main" id="{4C803F03-A50E-8A89-3A58-D6F145726BF2}"/>
                  </a:ext>
                </a:extLst>
              </xdr:cNvPr>
              <xdr:cNvSpPr/>
            </xdr:nvSpPr>
            <xdr:spPr>
              <a:xfrm>
                <a:off x="3884725" y="3995377"/>
                <a:ext cx="154152" cy="154131"/>
              </a:xfrm>
              <a:custGeom>
                <a:avLst/>
                <a:gdLst/>
                <a:ahLst/>
                <a:cxnLst/>
                <a:rect l="0" t="0" r="0" b="0"/>
                <a:pathLst>
                  <a:path w="153924" h="153924">
                    <a:moveTo>
                      <a:pt x="0" y="0"/>
                    </a:moveTo>
                    <a:lnTo>
                      <a:pt x="153924" y="0"/>
                    </a:lnTo>
                    <a:lnTo>
                      <a:pt x="153924" y="153924"/>
                    </a:lnTo>
                    <a:lnTo>
                      <a:pt x="0" y="153924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7" name="Shape 1382">
                <a:extLst>
                  <a:ext uri="{FF2B5EF4-FFF2-40B4-BE49-F238E27FC236}">
                    <a16:creationId xmlns:a16="http://schemas.microsoft.com/office/drawing/2014/main" id="{92AB79AD-BE4F-2E45-77AE-966B228DE597}"/>
                  </a:ext>
                </a:extLst>
              </xdr:cNvPr>
              <xdr:cNvSpPr/>
            </xdr:nvSpPr>
            <xdr:spPr>
              <a:xfrm>
                <a:off x="3879957" y="3990611"/>
                <a:ext cx="8263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8" name="Shape 1383">
                <a:extLst>
                  <a:ext uri="{FF2B5EF4-FFF2-40B4-BE49-F238E27FC236}">
                    <a16:creationId xmlns:a16="http://schemas.microsoft.com/office/drawing/2014/main" id="{20ABF8E6-8E9E-BEFE-E7FA-D181DB7128C1}"/>
                  </a:ext>
                </a:extLst>
              </xdr:cNvPr>
              <xdr:cNvSpPr/>
            </xdr:nvSpPr>
            <xdr:spPr>
              <a:xfrm>
                <a:off x="3962595" y="3990611"/>
                <a:ext cx="81050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</xdr:grpSp>
      <xdr:grpSp>
        <xdr:nvGrpSpPr>
          <xdr:cNvPr id="4" name="Gruppieren 3">
            <a:extLst>
              <a:ext uri="{FF2B5EF4-FFF2-40B4-BE49-F238E27FC236}">
                <a16:creationId xmlns:a16="http://schemas.microsoft.com/office/drawing/2014/main" id="{360974C0-08CC-EAEE-78DE-4A3398B822CE}"/>
              </a:ext>
            </a:extLst>
          </xdr:cNvPr>
          <xdr:cNvGrpSpPr/>
        </xdr:nvGrpSpPr>
        <xdr:grpSpPr>
          <a:xfrm>
            <a:off x="15320962" y="8475662"/>
            <a:ext cx="225425" cy="225425"/>
            <a:chOff x="10693400" y="8245475"/>
            <a:chExt cx="225425" cy="225425"/>
          </a:xfrm>
        </xdr:grpSpPr>
        <xdr:grpSp>
          <xdr:nvGrpSpPr>
            <xdr:cNvPr id="5" name="Gruppieren 4">
              <a:extLst>
                <a:ext uri="{FF2B5EF4-FFF2-40B4-BE49-F238E27FC236}">
                  <a16:creationId xmlns:a16="http://schemas.microsoft.com/office/drawing/2014/main" id="{8A122BF9-18AF-3207-DE11-0F4DD489C10F}"/>
                </a:ext>
              </a:extLst>
            </xdr:cNvPr>
            <xdr:cNvGrpSpPr/>
          </xdr:nvGrpSpPr>
          <xdr:grpSpPr>
            <a:xfrm>
              <a:off x="10693400" y="8245475"/>
              <a:ext cx="225425" cy="225425"/>
              <a:chOff x="10693400" y="8245475"/>
              <a:chExt cx="225425" cy="225425"/>
            </a:xfrm>
          </xdr:grpSpPr>
          <xdr:sp macro="" textlink="">
            <xdr:nvSpPr>
              <xdr:cNvPr id="7" name="Shape 1348">
                <a:extLst>
                  <a:ext uri="{FF2B5EF4-FFF2-40B4-BE49-F238E27FC236}">
                    <a16:creationId xmlns:a16="http://schemas.microsoft.com/office/drawing/2014/main" id="{6CA9F7D3-06FA-E5A4-86A4-6BFDE94EC480}"/>
                  </a:ext>
                </a:extLst>
              </xdr:cNvPr>
              <xdr:cNvSpPr/>
            </xdr:nvSpPr>
            <xdr:spPr>
              <a:xfrm>
                <a:off x="10693400" y="8245475"/>
                <a:ext cx="111125" cy="225425"/>
              </a:xfrm>
              <a:custGeom>
                <a:avLst/>
                <a:gdLst/>
                <a:ahLst/>
                <a:cxnLst/>
                <a:rect l="0" t="0" r="0" b="0"/>
                <a:pathLst>
                  <a:path w="112014" h="225457">
                    <a:moveTo>
                      <a:pt x="112014" y="0"/>
                    </a:moveTo>
                    <a:lnTo>
                      <a:pt x="112014" y="10573"/>
                    </a:lnTo>
                    <a:lnTo>
                      <a:pt x="102108" y="10573"/>
                    </a:lnTo>
                    <a:lnTo>
                      <a:pt x="91440" y="12097"/>
                    </a:lnTo>
                    <a:lnTo>
                      <a:pt x="82296" y="15145"/>
                    </a:lnTo>
                    <a:lnTo>
                      <a:pt x="73152" y="18193"/>
                    </a:lnTo>
                    <a:lnTo>
                      <a:pt x="64008" y="22765"/>
                    </a:lnTo>
                    <a:lnTo>
                      <a:pt x="54864" y="27337"/>
                    </a:lnTo>
                    <a:lnTo>
                      <a:pt x="47244" y="33433"/>
                    </a:lnTo>
                    <a:lnTo>
                      <a:pt x="39624" y="39529"/>
                    </a:lnTo>
                    <a:lnTo>
                      <a:pt x="33528" y="47149"/>
                    </a:lnTo>
                    <a:lnTo>
                      <a:pt x="27432" y="54769"/>
                    </a:lnTo>
                    <a:lnTo>
                      <a:pt x="21336" y="63913"/>
                    </a:lnTo>
                    <a:lnTo>
                      <a:pt x="16764" y="73057"/>
                    </a:lnTo>
                    <a:lnTo>
                      <a:pt x="13716" y="82201"/>
                    </a:lnTo>
                    <a:lnTo>
                      <a:pt x="10668" y="91345"/>
                    </a:lnTo>
                    <a:lnTo>
                      <a:pt x="9144" y="102013"/>
                    </a:lnTo>
                    <a:lnTo>
                      <a:pt x="9144" y="112681"/>
                    </a:lnTo>
                    <a:lnTo>
                      <a:pt x="9144" y="123349"/>
                    </a:lnTo>
                    <a:lnTo>
                      <a:pt x="10668" y="134017"/>
                    </a:lnTo>
                    <a:lnTo>
                      <a:pt x="13716" y="143161"/>
                    </a:lnTo>
                    <a:lnTo>
                      <a:pt x="16764" y="152305"/>
                    </a:lnTo>
                    <a:lnTo>
                      <a:pt x="21336" y="161449"/>
                    </a:lnTo>
                    <a:lnTo>
                      <a:pt x="27432" y="170593"/>
                    </a:lnTo>
                    <a:lnTo>
                      <a:pt x="32004" y="178213"/>
                    </a:lnTo>
                    <a:lnTo>
                      <a:pt x="39624" y="185833"/>
                    </a:lnTo>
                    <a:lnTo>
                      <a:pt x="47244" y="191929"/>
                    </a:lnTo>
                    <a:lnTo>
                      <a:pt x="54864" y="198025"/>
                    </a:lnTo>
                    <a:lnTo>
                      <a:pt x="62484" y="204121"/>
                    </a:lnTo>
                    <a:lnTo>
                      <a:pt x="71628" y="208693"/>
                    </a:lnTo>
                    <a:lnTo>
                      <a:pt x="82296" y="211741"/>
                    </a:lnTo>
                    <a:lnTo>
                      <a:pt x="91440" y="214789"/>
                    </a:lnTo>
                    <a:lnTo>
                      <a:pt x="102108" y="216313"/>
                    </a:lnTo>
                    <a:lnTo>
                      <a:pt x="112014" y="216313"/>
                    </a:lnTo>
                    <a:lnTo>
                      <a:pt x="112014" y="225457"/>
                    </a:lnTo>
                    <a:lnTo>
                      <a:pt x="100584" y="225457"/>
                    </a:lnTo>
                    <a:lnTo>
                      <a:pt x="89916" y="223933"/>
                    </a:lnTo>
                    <a:lnTo>
                      <a:pt x="79248" y="220885"/>
                    </a:lnTo>
                    <a:lnTo>
                      <a:pt x="68580" y="216313"/>
                    </a:lnTo>
                    <a:lnTo>
                      <a:pt x="59436" y="211741"/>
                    </a:lnTo>
                    <a:lnTo>
                      <a:pt x="50292" y="207169"/>
                    </a:lnTo>
                    <a:lnTo>
                      <a:pt x="41148" y="199549"/>
                    </a:lnTo>
                    <a:lnTo>
                      <a:pt x="33528" y="193453"/>
                    </a:lnTo>
                    <a:lnTo>
                      <a:pt x="25908" y="184309"/>
                    </a:lnTo>
                    <a:lnTo>
                      <a:pt x="19812" y="176689"/>
                    </a:lnTo>
                    <a:lnTo>
                      <a:pt x="13716" y="167545"/>
                    </a:lnTo>
                    <a:lnTo>
                      <a:pt x="9144" y="156877"/>
                    </a:lnTo>
                    <a:lnTo>
                      <a:pt x="4572" y="146209"/>
                    </a:lnTo>
                    <a:lnTo>
                      <a:pt x="1524" y="135541"/>
                    </a:lnTo>
                    <a:lnTo>
                      <a:pt x="0" y="124873"/>
                    </a:lnTo>
                    <a:lnTo>
                      <a:pt x="0" y="112681"/>
                    </a:lnTo>
                    <a:lnTo>
                      <a:pt x="0" y="102013"/>
                    </a:lnTo>
                    <a:lnTo>
                      <a:pt x="1524" y="91345"/>
                    </a:lnTo>
                    <a:lnTo>
                      <a:pt x="4572" y="79153"/>
                    </a:lnTo>
                    <a:lnTo>
                      <a:pt x="9144" y="70009"/>
                    </a:lnTo>
                    <a:lnTo>
                      <a:pt x="13716" y="59341"/>
                    </a:lnTo>
                    <a:lnTo>
                      <a:pt x="18288" y="50197"/>
                    </a:lnTo>
                    <a:lnTo>
                      <a:pt x="25908" y="41053"/>
                    </a:lnTo>
                    <a:lnTo>
                      <a:pt x="32004" y="33433"/>
                    </a:lnTo>
                    <a:lnTo>
                      <a:pt x="41148" y="25813"/>
                    </a:lnTo>
                    <a:lnTo>
                      <a:pt x="48768" y="19717"/>
                    </a:lnTo>
                    <a:lnTo>
                      <a:pt x="57912" y="13621"/>
                    </a:lnTo>
                    <a:lnTo>
                      <a:pt x="68580" y="9049"/>
                    </a:lnTo>
                    <a:lnTo>
                      <a:pt x="79248" y="6001"/>
                    </a:lnTo>
                    <a:lnTo>
                      <a:pt x="89916" y="2953"/>
                    </a:lnTo>
                    <a:lnTo>
                      <a:pt x="100584" y="1429"/>
                    </a:lnTo>
                    <a:lnTo>
                      <a:pt x="112014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" name="Shape 1349">
                <a:extLst>
                  <a:ext uri="{FF2B5EF4-FFF2-40B4-BE49-F238E27FC236}">
                    <a16:creationId xmlns:a16="http://schemas.microsoft.com/office/drawing/2014/main" id="{6BB6371C-7FFE-E30C-93E3-4A2830671A29}"/>
                  </a:ext>
                </a:extLst>
              </xdr:cNvPr>
              <xdr:cNvSpPr/>
            </xdr:nvSpPr>
            <xdr:spPr>
              <a:xfrm>
                <a:off x="10804525" y="8245475"/>
                <a:ext cx="114300" cy="225425"/>
              </a:xfrm>
              <a:custGeom>
                <a:avLst/>
                <a:gdLst/>
                <a:ahLst/>
                <a:cxnLst/>
                <a:rect l="0" t="0" r="0" b="0"/>
                <a:pathLst>
                  <a:path w="113538" h="225552">
                    <a:moveTo>
                      <a:pt x="762" y="0"/>
                    </a:moveTo>
                    <a:lnTo>
                      <a:pt x="11430" y="1524"/>
                    </a:lnTo>
                    <a:lnTo>
                      <a:pt x="23622" y="3048"/>
                    </a:lnTo>
                    <a:lnTo>
                      <a:pt x="34290" y="6096"/>
                    </a:lnTo>
                    <a:lnTo>
                      <a:pt x="43434" y="9144"/>
                    </a:lnTo>
                    <a:lnTo>
                      <a:pt x="54102" y="13716"/>
                    </a:lnTo>
                    <a:lnTo>
                      <a:pt x="63246" y="19812"/>
                    </a:lnTo>
                    <a:lnTo>
                      <a:pt x="72390" y="25908"/>
                    </a:lnTo>
                    <a:lnTo>
                      <a:pt x="80010" y="33528"/>
                    </a:lnTo>
                    <a:lnTo>
                      <a:pt x="87630" y="41148"/>
                    </a:lnTo>
                    <a:lnTo>
                      <a:pt x="93726" y="50292"/>
                    </a:lnTo>
                    <a:lnTo>
                      <a:pt x="99822" y="59436"/>
                    </a:lnTo>
                    <a:lnTo>
                      <a:pt x="104394" y="68580"/>
                    </a:lnTo>
                    <a:lnTo>
                      <a:pt x="107442" y="79248"/>
                    </a:lnTo>
                    <a:lnTo>
                      <a:pt x="110490" y="89916"/>
                    </a:lnTo>
                    <a:lnTo>
                      <a:pt x="112014" y="102108"/>
                    </a:lnTo>
                    <a:lnTo>
                      <a:pt x="113538" y="112776"/>
                    </a:lnTo>
                    <a:lnTo>
                      <a:pt x="112014" y="124968"/>
                    </a:lnTo>
                    <a:lnTo>
                      <a:pt x="110490" y="135636"/>
                    </a:lnTo>
                    <a:lnTo>
                      <a:pt x="107442" y="146304"/>
                    </a:lnTo>
                    <a:lnTo>
                      <a:pt x="104394" y="156972"/>
                    </a:lnTo>
                    <a:lnTo>
                      <a:pt x="99822" y="166116"/>
                    </a:lnTo>
                    <a:lnTo>
                      <a:pt x="93726" y="175260"/>
                    </a:lnTo>
                    <a:lnTo>
                      <a:pt x="87630" y="184404"/>
                    </a:lnTo>
                    <a:lnTo>
                      <a:pt x="80010" y="192024"/>
                    </a:lnTo>
                    <a:lnTo>
                      <a:pt x="72390" y="199644"/>
                    </a:lnTo>
                    <a:lnTo>
                      <a:pt x="63246" y="207264"/>
                    </a:lnTo>
                    <a:lnTo>
                      <a:pt x="54102" y="211836"/>
                    </a:lnTo>
                    <a:lnTo>
                      <a:pt x="44958" y="216408"/>
                    </a:lnTo>
                    <a:lnTo>
                      <a:pt x="34290" y="220980"/>
                    </a:lnTo>
                    <a:lnTo>
                      <a:pt x="23622" y="224028"/>
                    </a:lnTo>
                    <a:lnTo>
                      <a:pt x="12954" y="225552"/>
                    </a:lnTo>
                    <a:lnTo>
                      <a:pt x="762" y="225552"/>
                    </a:lnTo>
                    <a:lnTo>
                      <a:pt x="0" y="225552"/>
                    </a:lnTo>
                    <a:lnTo>
                      <a:pt x="0" y="216408"/>
                    </a:lnTo>
                    <a:lnTo>
                      <a:pt x="762" y="216408"/>
                    </a:lnTo>
                    <a:lnTo>
                      <a:pt x="11430" y="216408"/>
                    </a:lnTo>
                    <a:lnTo>
                      <a:pt x="20574" y="214884"/>
                    </a:lnTo>
                    <a:lnTo>
                      <a:pt x="31242" y="211836"/>
                    </a:lnTo>
                    <a:lnTo>
                      <a:pt x="40386" y="208788"/>
                    </a:lnTo>
                    <a:lnTo>
                      <a:pt x="49530" y="204216"/>
                    </a:lnTo>
                    <a:lnTo>
                      <a:pt x="58674" y="199644"/>
                    </a:lnTo>
                    <a:lnTo>
                      <a:pt x="66294" y="193548"/>
                    </a:lnTo>
                    <a:lnTo>
                      <a:pt x="73914" y="185928"/>
                    </a:lnTo>
                    <a:lnTo>
                      <a:pt x="80010" y="178308"/>
                    </a:lnTo>
                    <a:lnTo>
                      <a:pt x="86106" y="170688"/>
                    </a:lnTo>
                    <a:lnTo>
                      <a:pt x="90678" y="163068"/>
                    </a:lnTo>
                    <a:lnTo>
                      <a:pt x="95250" y="153924"/>
                    </a:lnTo>
                    <a:lnTo>
                      <a:pt x="98298" y="144780"/>
                    </a:lnTo>
                    <a:lnTo>
                      <a:pt x="101346" y="134112"/>
                    </a:lnTo>
                    <a:lnTo>
                      <a:pt x="102870" y="123444"/>
                    </a:lnTo>
                    <a:lnTo>
                      <a:pt x="102870" y="112776"/>
                    </a:lnTo>
                    <a:lnTo>
                      <a:pt x="102870" y="102108"/>
                    </a:lnTo>
                    <a:lnTo>
                      <a:pt x="101346" y="92964"/>
                    </a:lnTo>
                    <a:lnTo>
                      <a:pt x="98298" y="82296"/>
                    </a:lnTo>
                    <a:lnTo>
                      <a:pt x="95250" y="73152"/>
                    </a:lnTo>
                    <a:lnTo>
                      <a:pt x="90678" y="64008"/>
                    </a:lnTo>
                    <a:lnTo>
                      <a:pt x="86106" y="56388"/>
                    </a:lnTo>
                    <a:lnTo>
                      <a:pt x="80010" y="47244"/>
                    </a:lnTo>
                    <a:lnTo>
                      <a:pt x="73914" y="39624"/>
                    </a:lnTo>
                    <a:lnTo>
                      <a:pt x="66294" y="33528"/>
                    </a:lnTo>
                    <a:lnTo>
                      <a:pt x="58674" y="27432"/>
                    </a:lnTo>
                    <a:lnTo>
                      <a:pt x="49530" y="22860"/>
                    </a:lnTo>
                    <a:lnTo>
                      <a:pt x="40386" y="18288"/>
                    </a:lnTo>
                    <a:lnTo>
                      <a:pt x="31242" y="15240"/>
                    </a:lnTo>
                    <a:lnTo>
                      <a:pt x="22098" y="12192"/>
                    </a:lnTo>
                    <a:lnTo>
                      <a:pt x="11430" y="10668"/>
                    </a:lnTo>
                    <a:lnTo>
                      <a:pt x="762" y="10668"/>
                    </a:lnTo>
                    <a:lnTo>
                      <a:pt x="0" y="10668"/>
                    </a:lnTo>
                    <a:lnTo>
                      <a:pt x="0" y="95"/>
                    </a:lnTo>
                    <a:lnTo>
                      <a:pt x="762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" name="Shape 1350">
                <a:extLst>
                  <a:ext uri="{FF2B5EF4-FFF2-40B4-BE49-F238E27FC236}">
                    <a16:creationId xmlns:a16="http://schemas.microsoft.com/office/drawing/2014/main" id="{99836482-1098-7959-C430-4948237D005E}"/>
                  </a:ext>
                </a:extLst>
              </xdr:cNvPr>
              <xdr:cNvSpPr/>
            </xdr:nvSpPr>
            <xdr:spPr>
              <a:xfrm>
                <a:off x="10802938" y="8247062"/>
                <a:ext cx="114300" cy="114300"/>
              </a:xfrm>
              <a:custGeom>
                <a:avLst/>
                <a:gdLst/>
                <a:ahLst/>
                <a:cxnLst/>
                <a:rect l="0" t="0" r="0" b="0"/>
                <a:pathLst>
                  <a:path w="114300" h="114300">
                    <a:moveTo>
                      <a:pt x="6096" y="0"/>
                    </a:moveTo>
                    <a:lnTo>
                      <a:pt x="114300" y="108204"/>
                    </a:lnTo>
                    <a:lnTo>
                      <a:pt x="106680" y="114300"/>
                    </a:lnTo>
                    <a:lnTo>
                      <a:pt x="0" y="7620"/>
                    </a:lnTo>
                    <a:lnTo>
                      <a:pt x="609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sp macro="" textlink="">
          <xdr:nvSpPr>
            <xdr:cNvPr id="6" name="Shape 1351">
              <a:extLst>
                <a:ext uri="{FF2B5EF4-FFF2-40B4-BE49-F238E27FC236}">
                  <a16:creationId xmlns:a16="http://schemas.microsoft.com/office/drawing/2014/main" id="{377B8E40-9292-6E43-ECCD-DD2D7AD60DDD}"/>
                </a:ext>
              </a:extLst>
            </xdr:cNvPr>
            <xdr:cNvSpPr/>
          </xdr:nvSpPr>
          <xdr:spPr>
            <a:xfrm>
              <a:off x="10802938" y="8355012"/>
              <a:ext cx="114300" cy="114300"/>
            </a:xfrm>
            <a:custGeom>
              <a:avLst/>
              <a:gdLst/>
              <a:ahLst/>
              <a:cxnLst/>
              <a:rect l="0" t="0" r="0" b="0"/>
              <a:pathLst>
                <a:path w="114300" h="114300">
                  <a:moveTo>
                    <a:pt x="106680" y="0"/>
                  </a:moveTo>
                  <a:lnTo>
                    <a:pt x="114300" y="6096"/>
                  </a:lnTo>
                  <a:lnTo>
                    <a:pt x="6096" y="114300"/>
                  </a:lnTo>
                  <a:lnTo>
                    <a:pt x="0" y="108204"/>
                  </a:lnTo>
                  <a:lnTo>
                    <a:pt x="106680" y="0"/>
                  </a:lnTo>
                  <a:close/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000000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</xdr:grpSp>
    </xdr:grpSp>
    <xdr:clientData/>
  </xdr:twoCellAnchor>
  <xdr:twoCellAnchor editAs="oneCell">
    <xdr:from>
      <xdr:col>1</xdr:col>
      <xdr:colOff>0</xdr:colOff>
      <xdr:row>62</xdr:row>
      <xdr:rowOff>0</xdr:rowOff>
    </xdr:from>
    <xdr:to>
      <xdr:col>11</xdr:col>
      <xdr:colOff>27640</xdr:colOff>
      <xdr:row>82</xdr:row>
      <xdr:rowOff>142346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837B8283-963D-45C0-9431-43FF6183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980" y="13933170"/>
          <a:ext cx="7342840" cy="37999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</xdr:colOff>
      <xdr:row>1</xdr:row>
      <xdr:rowOff>34290</xdr:rowOff>
    </xdr:from>
    <xdr:to>
      <xdr:col>1</xdr:col>
      <xdr:colOff>2483522</xdr:colOff>
      <xdr:row>1</xdr:row>
      <xdr:rowOff>1647423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F529E9D-F277-4FEF-9CA0-C9506BD7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" y="217170"/>
          <a:ext cx="2365412" cy="1613133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</xdr:colOff>
      <xdr:row>1</xdr:row>
      <xdr:rowOff>415290</xdr:rowOff>
    </xdr:from>
    <xdr:to>
      <xdr:col>2</xdr:col>
      <xdr:colOff>1800373</xdr:colOff>
      <xdr:row>1</xdr:row>
      <xdr:rowOff>1472713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9AC6696-534B-4640-3E42-F8FB488E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940" y="598170"/>
          <a:ext cx="1057423" cy="1057423"/>
        </a:xfrm>
        <a:prstGeom prst="rect">
          <a:avLst/>
        </a:prstGeom>
      </xdr:spPr>
    </xdr:pic>
    <xdr:clientData/>
  </xdr:twoCellAnchor>
  <xdr:twoCellAnchor editAs="oneCell">
    <xdr:from>
      <xdr:col>2</xdr:col>
      <xdr:colOff>792480</xdr:colOff>
      <xdr:row>2</xdr:row>
      <xdr:rowOff>361950</xdr:rowOff>
    </xdr:from>
    <xdr:to>
      <xdr:col>2</xdr:col>
      <xdr:colOff>1735587</xdr:colOff>
      <xdr:row>2</xdr:row>
      <xdr:rowOff>1305057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F1A2DE9-E7F8-2736-4AB2-DBA46A048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470" y="2289810"/>
          <a:ext cx="943107" cy="943107"/>
        </a:xfrm>
        <a:prstGeom prst="rect">
          <a:avLst/>
        </a:prstGeom>
      </xdr:spPr>
    </xdr:pic>
    <xdr:clientData/>
  </xdr:twoCellAnchor>
  <xdr:twoCellAnchor editAs="oneCell">
    <xdr:from>
      <xdr:col>1</xdr:col>
      <xdr:colOff>83821</xdr:colOff>
      <xdr:row>2</xdr:row>
      <xdr:rowOff>116748</xdr:rowOff>
    </xdr:from>
    <xdr:to>
      <xdr:col>1</xdr:col>
      <xdr:colOff>2472691</xdr:colOff>
      <xdr:row>2</xdr:row>
      <xdr:rowOff>1669227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BB52A67D-CAFB-591A-0AD1-C42DE1DD4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1" y="2044608"/>
          <a:ext cx="2388870" cy="1552479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3</xdr:row>
      <xdr:rowOff>407670</xdr:rowOff>
    </xdr:from>
    <xdr:to>
      <xdr:col>2</xdr:col>
      <xdr:colOff>1724157</xdr:colOff>
      <xdr:row>3</xdr:row>
      <xdr:rowOff>1350777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BD2697D6-3E7A-DF3A-53E1-C95734261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40" y="4080510"/>
          <a:ext cx="943107" cy="943107"/>
        </a:xfrm>
        <a:prstGeom prst="rect">
          <a:avLst/>
        </a:prstGeom>
      </xdr:spPr>
    </xdr:pic>
    <xdr:clientData/>
  </xdr:twoCellAnchor>
  <xdr:twoCellAnchor editAs="oneCell">
    <xdr:from>
      <xdr:col>1</xdr:col>
      <xdr:colOff>41911</xdr:colOff>
      <xdr:row>3</xdr:row>
      <xdr:rowOff>55289</xdr:rowOff>
    </xdr:from>
    <xdr:to>
      <xdr:col>1</xdr:col>
      <xdr:colOff>2411730</xdr:colOff>
      <xdr:row>3</xdr:row>
      <xdr:rowOff>1689233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5EB0C84A-BAB1-D16D-0597-87F90D8AD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26456"/>
        <a:stretch/>
      </xdr:blipFill>
      <xdr:spPr>
        <a:xfrm>
          <a:off x="41911" y="3728129"/>
          <a:ext cx="2369819" cy="1633944"/>
        </a:xfrm>
        <a:prstGeom prst="rect">
          <a:avLst/>
        </a:prstGeom>
      </xdr:spPr>
    </xdr:pic>
    <xdr:clientData/>
  </xdr:twoCellAnchor>
  <xdr:twoCellAnchor editAs="oneCell">
    <xdr:from>
      <xdr:col>1</xdr:col>
      <xdr:colOff>165556</xdr:colOff>
      <xdr:row>4</xdr:row>
      <xdr:rowOff>99060</xdr:rowOff>
    </xdr:from>
    <xdr:to>
      <xdr:col>1</xdr:col>
      <xdr:colOff>2289809</xdr:colOff>
      <xdr:row>4</xdr:row>
      <xdr:rowOff>1600199</xdr:rowOff>
    </xdr:to>
    <xdr:pic>
      <xdr:nvPicPr>
        <xdr:cNvPr id="11" name="Grafik 10" descr="So viel kostet eine Tonne CO2">
          <a:extLst>
            <a:ext uri="{FF2B5EF4-FFF2-40B4-BE49-F238E27FC236}">
              <a16:creationId xmlns:a16="http://schemas.microsoft.com/office/drawing/2014/main" id="{37BC1E0E-E8A0-9D4D-22F9-862795E7D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556" y="5516880"/>
          <a:ext cx="2124253" cy="150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662940</xdr:colOff>
      <xdr:row>4</xdr:row>
      <xdr:rowOff>175260</xdr:rowOff>
    </xdr:from>
    <xdr:to>
      <xdr:col>2</xdr:col>
      <xdr:colOff>2063310</xdr:colOff>
      <xdr:row>4</xdr:row>
      <xdr:rowOff>1575630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26C9DABE-F320-5D60-67CC-6368BD682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" y="5593080"/>
          <a:ext cx="1400370" cy="1400370"/>
        </a:xfrm>
        <a:prstGeom prst="rect">
          <a:avLst/>
        </a:prstGeom>
      </xdr:spPr>
    </xdr:pic>
    <xdr:clientData/>
  </xdr:twoCellAnchor>
  <xdr:twoCellAnchor editAs="oneCell">
    <xdr:from>
      <xdr:col>2</xdr:col>
      <xdr:colOff>662940</xdr:colOff>
      <xdr:row>5</xdr:row>
      <xdr:rowOff>144780</xdr:rowOff>
    </xdr:from>
    <xdr:to>
      <xdr:col>2</xdr:col>
      <xdr:colOff>2063310</xdr:colOff>
      <xdr:row>5</xdr:row>
      <xdr:rowOff>1545150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3F46CB1-AAD3-FD25-FC12-EABED139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" y="7307580"/>
          <a:ext cx="1400370" cy="140037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34291</xdr:colOff>
      <xdr:row>5</xdr:row>
      <xdr:rowOff>214257</xdr:rowOff>
    </xdr:from>
    <xdr:to>
      <xdr:col>1</xdr:col>
      <xdr:colOff>2575560</xdr:colOff>
      <xdr:row>5</xdr:row>
      <xdr:rowOff>1390968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54C64B9F-2DFB-7378-EBEA-48810BEA55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28967"/>
        <a:stretch/>
      </xdr:blipFill>
      <xdr:spPr>
        <a:xfrm>
          <a:off x="34291" y="7377057"/>
          <a:ext cx="2541269" cy="1176711"/>
        </a:xfrm>
        <a:prstGeom prst="rect">
          <a:avLst/>
        </a:prstGeom>
      </xdr:spPr>
    </xdr:pic>
    <xdr:clientData/>
  </xdr:twoCellAnchor>
  <xdr:twoCellAnchor editAs="oneCell">
    <xdr:from>
      <xdr:col>1</xdr:col>
      <xdr:colOff>93121</xdr:colOff>
      <xdr:row>6</xdr:row>
      <xdr:rowOff>220980</xdr:rowOff>
    </xdr:from>
    <xdr:to>
      <xdr:col>1</xdr:col>
      <xdr:colOff>2516533</xdr:colOff>
      <xdr:row>6</xdr:row>
      <xdr:rowOff>1669297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DFD0688-7FA7-726F-668D-22AD5AAE6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65661" y="9273540"/>
          <a:ext cx="2423412" cy="1448317"/>
        </a:xfrm>
        <a:prstGeom prst="rect">
          <a:avLst/>
        </a:prstGeom>
      </xdr:spPr>
    </xdr:pic>
    <xdr:clientData/>
  </xdr:twoCellAnchor>
  <xdr:twoCellAnchor editAs="oneCell">
    <xdr:from>
      <xdr:col>2</xdr:col>
      <xdr:colOff>727710</xdr:colOff>
      <xdr:row>6</xdr:row>
      <xdr:rowOff>373380</xdr:rowOff>
    </xdr:from>
    <xdr:to>
      <xdr:col>2</xdr:col>
      <xdr:colOff>1785133</xdr:colOff>
      <xdr:row>6</xdr:row>
      <xdr:rowOff>1430803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2F128E2F-0411-17E6-959B-974AB52F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240" y="9425940"/>
          <a:ext cx="1057423" cy="1057423"/>
        </a:xfrm>
        <a:prstGeom prst="rect">
          <a:avLst/>
        </a:prstGeom>
      </xdr:spPr>
    </xdr:pic>
    <xdr:clientData/>
  </xdr:twoCellAnchor>
  <xdr:twoCellAnchor editAs="oneCell">
    <xdr:from>
      <xdr:col>1</xdr:col>
      <xdr:colOff>104085</xdr:colOff>
      <xdr:row>7</xdr:row>
      <xdr:rowOff>64770</xdr:rowOff>
    </xdr:from>
    <xdr:to>
      <xdr:col>1</xdr:col>
      <xdr:colOff>2461260</xdr:colOff>
      <xdr:row>7</xdr:row>
      <xdr:rowOff>1719455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EADF8D80-F2F9-7E70-5944-A842895A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76625" y="10862310"/>
          <a:ext cx="2357175" cy="1654685"/>
        </a:xfrm>
        <a:prstGeom prst="rect">
          <a:avLst/>
        </a:prstGeom>
      </xdr:spPr>
    </xdr:pic>
    <xdr:clientData/>
  </xdr:twoCellAnchor>
  <xdr:twoCellAnchor editAs="oneCell">
    <xdr:from>
      <xdr:col>2</xdr:col>
      <xdr:colOff>594360</xdr:colOff>
      <xdr:row>7</xdr:row>
      <xdr:rowOff>182880</xdr:rowOff>
    </xdr:from>
    <xdr:to>
      <xdr:col>2</xdr:col>
      <xdr:colOff>1994730</xdr:colOff>
      <xdr:row>7</xdr:row>
      <xdr:rowOff>1583250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58D057D-3427-F739-E6CF-D44CDEC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3890" y="10980420"/>
          <a:ext cx="1400370" cy="1400370"/>
        </a:xfrm>
        <a:prstGeom prst="rect">
          <a:avLst/>
        </a:prstGeom>
      </xdr:spPr>
    </xdr:pic>
    <xdr:clientData/>
  </xdr:twoCellAnchor>
  <xdr:twoCellAnchor editAs="oneCell">
    <xdr:from>
      <xdr:col>2</xdr:col>
      <xdr:colOff>902970</xdr:colOff>
      <xdr:row>8</xdr:row>
      <xdr:rowOff>392430</xdr:rowOff>
    </xdr:from>
    <xdr:to>
      <xdr:col>2</xdr:col>
      <xdr:colOff>1846077</xdr:colOff>
      <xdr:row>8</xdr:row>
      <xdr:rowOff>1335537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F8623C9E-2A1E-7B5B-B167-F06E8CBA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2934950"/>
          <a:ext cx="943107" cy="94310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</xdr:row>
      <xdr:rowOff>251460</xdr:rowOff>
    </xdr:from>
    <xdr:to>
      <xdr:col>1</xdr:col>
      <xdr:colOff>2530031</xdr:colOff>
      <xdr:row>8</xdr:row>
      <xdr:rowOff>1394912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776DB923-A8A0-CB9E-94F3-630BDB9D8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48740" y="12793980"/>
          <a:ext cx="2453831" cy="1143452"/>
        </a:xfrm>
        <a:prstGeom prst="rect">
          <a:avLst/>
        </a:prstGeom>
      </xdr:spPr>
    </xdr:pic>
    <xdr:clientData/>
  </xdr:twoCellAnchor>
  <xdr:twoCellAnchor editAs="oneCell">
    <xdr:from>
      <xdr:col>2</xdr:col>
      <xdr:colOff>944880</xdr:colOff>
      <xdr:row>9</xdr:row>
      <xdr:rowOff>373380</xdr:rowOff>
    </xdr:from>
    <xdr:to>
      <xdr:col>2</xdr:col>
      <xdr:colOff>1887987</xdr:colOff>
      <xdr:row>9</xdr:row>
      <xdr:rowOff>1316487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4C779061-3EE3-00F5-63A4-02DCF6984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4410" y="14660880"/>
          <a:ext cx="943107" cy="943107"/>
        </a:xfrm>
        <a:prstGeom prst="rect">
          <a:avLst/>
        </a:prstGeom>
      </xdr:spPr>
    </xdr:pic>
    <xdr:clientData/>
  </xdr:twoCellAnchor>
  <xdr:twoCellAnchor editAs="oneCell">
    <xdr:from>
      <xdr:col>1</xdr:col>
      <xdr:colOff>132348</xdr:colOff>
      <xdr:row>9</xdr:row>
      <xdr:rowOff>403860</xdr:rowOff>
    </xdr:from>
    <xdr:to>
      <xdr:col>1</xdr:col>
      <xdr:colOff>2507768</xdr:colOff>
      <xdr:row>9</xdr:row>
      <xdr:rowOff>1532185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7D89CE73-D9D4-AACB-EF50-EFD206A23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04888" y="14691360"/>
          <a:ext cx="2375420" cy="11283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1146810</xdr:colOff>
      <xdr:row>10</xdr:row>
      <xdr:rowOff>293370</xdr:rowOff>
    </xdr:from>
    <xdr:to>
      <xdr:col>2</xdr:col>
      <xdr:colOff>2204233</xdr:colOff>
      <xdr:row>10</xdr:row>
      <xdr:rowOff>1350793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A5513FE3-D386-0088-075B-8A5D4EF65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340" y="16325850"/>
          <a:ext cx="1057423" cy="1057423"/>
        </a:xfrm>
        <a:prstGeom prst="rect">
          <a:avLst/>
        </a:prstGeom>
      </xdr:spPr>
    </xdr:pic>
    <xdr:clientData/>
  </xdr:twoCellAnchor>
  <xdr:twoCellAnchor editAs="oneCell">
    <xdr:from>
      <xdr:col>1</xdr:col>
      <xdr:colOff>142739</xdr:colOff>
      <xdr:row>10</xdr:row>
      <xdr:rowOff>224790</xdr:rowOff>
    </xdr:from>
    <xdr:to>
      <xdr:col>1</xdr:col>
      <xdr:colOff>2468889</xdr:colOff>
      <xdr:row>10</xdr:row>
      <xdr:rowOff>1593058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ED425200-354E-0A8C-2E92-F337B8F50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15279" y="16257270"/>
          <a:ext cx="2326150" cy="1368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896C~1.PET/AppData/Local/Temp/DE_SMART_SPP_LCC_CO2_tool_v1-5b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ngbu\Dropbox\VZ\20230919%20Heizung%20Mobilitaet%20uebersicht.xlsb.xlsx" TargetMode="External"/><Relationship Id="rId1" Type="http://schemas.openxmlformats.org/officeDocument/2006/relationships/externalLinkPath" Target="/Users/ingbu/Dropbox/VZ/20230919%20Heizung%20Mobilitaet%20uebersicht.xlsb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gbu/AppData/Roaming/Microsoft/Excel/Gradtagzahlen-Deutschland%20(version%201)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m/AppData/Local/Temp/Berechnung%20f&#252;r%20Energiestr&#246;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nleitung"/>
      <sheetName val="Hauptseite"/>
      <sheetName val="LCC_Diagramme"/>
      <sheetName val="CO2_Diagramme"/>
      <sheetName val="Angebotsbewertung"/>
      <sheetName val="Umrechnungsfaktoren"/>
      <sheetName val="Glossar"/>
      <sheetName val="Emissionsfaktoren"/>
      <sheetName val="Regelmäßige Investitionen"/>
      <sheetName val="Betrieb"/>
      <sheetName val="Wartung"/>
      <sheetName val="CO2"/>
      <sheetName val="Jährliche LCC-Berechnung"/>
      <sheetName val="calc_CO2"/>
      <sheetName val="diverse"/>
      <sheetName val="MemoQ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F4" t="str">
            <v>[AUSWÄHLEN]</v>
          </cell>
          <cell r="M4" t="str">
            <v>keine Angabe</v>
          </cell>
        </row>
        <row r="5">
          <cell r="F5" t="str">
            <v>Belgien</v>
          </cell>
          <cell r="J5" t="str">
            <v>k.A.</v>
          </cell>
          <cell r="M5">
            <v>1</v>
          </cell>
        </row>
        <row r="6">
          <cell r="F6" t="str">
            <v>Bulgarien</v>
          </cell>
          <cell r="J6" t="str">
            <v>Produkt A</v>
          </cell>
          <cell r="M6">
            <v>2</v>
          </cell>
        </row>
        <row r="7">
          <cell r="F7" t="str">
            <v>Dänemark</v>
          </cell>
          <cell r="J7" t="str">
            <v>Produkt B</v>
          </cell>
          <cell r="M7">
            <v>3</v>
          </cell>
        </row>
        <row r="8">
          <cell r="F8" t="str">
            <v>Deutschland</v>
          </cell>
          <cell r="J8" t="str">
            <v>Produkt C</v>
          </cell>
          <cell r="M8">
            <v>4</v>
          </cell>
        </row>
        <row r="9">
          <cell r="F9" t="str">
            <v>Estland</v>
          </cell>
          <cell r="J9" t="str">
            <v>Produkt D</v>
          </cell>
          <cell r="M9">
            <v>5</v>
          </cell>
        </row>
        <row r="10">
          <cell r="F10" t="str">
            <v>Finnland</v>
          </cell>
          <cell r="J10" t="str">
            <v>Produkt E</v>
          </cell>
          <cell r="M10">
            <v>6</v>
          </cell>
        </row>
        <row r="11">
          <cell r="F11" t="str">
            <v>Frankreich</v>
          </cell>
          <cell r="J11" t="str">
            <v>Produkt F</v>
          </cell>
          <cell r="M11">
            <v>7</v>
          </cell>
        </row>
        <row r="12">
          <cell r="F12" t="str">
            <v>Griechenland</v>
          </cell>
          <cell r="J12" t="str">
            <v>Produkt G</v>
          </cell>
          <cell r="M12">
            <v>8</v>
          </cell>
        </row>
        <row r="13">
          <cell r="F13" t="str">
            <v>Irland</v>
          </cell>
          <cell r="J13" t="str">
            <v>Produkt H</v>
          </cell>
          <cell r="M13">
            <v>9</v>
          </cell>
        </row>
        <row r="14">
          <cell r="F14" t="str">
            <v>Italien</v>
          </cell>
          <cell r="J14" t="str">
            <v>Produkt I</v>
          </cell>
          <cell r="M14">
            <v>10</v>
          </cell>
        </row>
        <row r="15">
          <cell r="F15" t="str">
            <v>Lettland</v>
          </cell>
          <cell r="J15" t="str">
            <v>Produkt J</v>
          </cell>
          <cell r="M15">
            <v>11</v>
          </cell>
        </row>
        <row r="16">
          <cell r="F16" t="str">
            <v>Litauen</v>
          </cell>
          <cell r="J16" t="str">
            <v>Produkt K</v>
          </cell>
          <cell r="M16">
            <v>12</v>
          </cell>
        </row>
        <row r="17">
          <cell r="F17" t="str">
            <v>Luxemburg</v>
          </cell>
          <cell r="J17" t="str">
            <v>Produkt L</v>
          </cell>
          <cell r="M17">
            <v>13</v>
          </cell>
        </row>
        <row r="18">
          <cell r="F18" t="str">
            <v>Malta</v>
          </cell>
          <cell r="J18" t="str">
            <v>Produkt M</v>
          </cell>
          <cell r="M18">
            <v>14</v>
          </cell>
        </row>
        <row r="19">
          <cell r="F19" t="str">
            <v>Niederlande</v>
          </cell>
          <cell r="J19" t="str">
            <v>Produkt N</v>
          </cell>
          <cell r="M19">
            <v>15</v>
          </cell>
        </row>
        <row r="20">
          <cell r="F20" t="str">
            <v>Österreich</v>
          </cell>
          <cell r="J20" t="str">
            <v>Produkt O</v>
          </cell>
          <cell r="M20">
            <v>16</v>
          </cell>
        </row>
        <row r="21">
          <cell r="F21" t="str">
            <v>Polen</v>
          </cell>
          <cell r="M21">
            <v>17</v>
          </cell>
        </row>
        <row r="22">
          <cell r="F22" t="str">
            <v>Portugal</v>
          </cell>
          <cell r="M22">
            <v>18</v>
          </cell>
        </row>
        <row r="23">
          <cell r="F23" t="str">
            <v>Rumänien</v>
          </cell>
          <cell r="M23">
            <v>19</v>
          </cell>
        </row>
        <row r="24">
          <cell r="F24" t="str">
            <v>Schweden</v>
          </cell>
          <cell r="M24">
            <v>20</v>
          </cell>
        </row>
        <row r="25">
          <cell r="F25" t="str">
            <v>Slowakei</v>
          </cell>
          <cell r="M25">
            <v>21</v>
          </cell>
        </row>
        <row r="26">
          <cell r="F26" t="str">
            <v>Slowenien</v>
          </cell>
          <cell r="M26">
            <v>22</v>
          </cell>
        </row>
        <row r="27">
          <cell r="F27" t="str">
            <v>Spanien</v>
          </cell>
          <cell r="M27">
            <v>23</v>
          </cell>
        </row>
        <row r="28">
          <cell r="F28" t="str">
            <v>Tschechische Republik</v>
          </cell>
          <cell r="M28">
            <v>24</v>
          </cell>
        </row>
        <row r="29">
          <cell r="F29" t="str">
            <v>Ungarn</v>
          </cell>
          <cell r="M29">
            <v>25</v>
          </cell>
        </row>
        <row r="30">
          <cell r="F30" t="str">
            <v>Vereinigtes Königreich</v>
          </cell>
        </row>
        <row r="31">
          <cell r="F31" t="str">
            <v>Zypern</v>
          </cell>
        </row>
        <row r="32">
          <cell r="F32" t="str">
            <v>Anderes Land</v>
          </cell>
        </row>
      </sheetData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übersicht"/>
      <sheetName val="hydraulisch Abglei 190815"/>
      <sheetName val="HFH Abrechnung"/>
      <sheetName val="Heiz Planung"/>
      <sheetName val="Planung"/>
      <sheetName val="Verschlechterungsverbot"/>
      <sheetName val="Übersicht Förderungen Heizung"/>
      <sheetName val="Heizlast Bestand nach 12831"/>
      <sheetName val="Heizlast Bestand"/>
      <sheetName val="Heizlast Neubau"/>
      <sheetName val="Kühllast Neubau"/>
      <sheetName val="Kühlung"/>
      <sheetName val="WP Sonde Kollektor"/>
      <sheetName val="U-Wert vereinfacht"/>
      <sheetName val="PV 09.06"/>
      <sheetName val="Laden 09.06"/>
      <sheetName val="Kindgerecht-nicht nach öff Hand"/>
      <sheetName val="W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läuterungen"/>
      <sheetName val="UserForm"/>
      <sheetName val="Info"/>
      <sheetName val="Calc.Evaluation"/>
      <sheetName val="Tab.StationMapping"/>
      <sheetName val="List.Station.TA"/>
      <sheetName val="List.Exclude.Station.TA"/>
      <sheetName val="Data.TA.HD"/>
      <sheetName val="Data.Sol"/>
      <sheetName val="Tab.Estim.Sol.Orient"/>
    </sheetNames>
    <sheetDataSet>
      <sheetData sheetId="0"/>
      <sheetData sheetId="1">
        <row r="10">
          <cell r="AI10">
            <v>1</v>
          </cell>
        </row>
        <row r="12">
          <cell r="AI12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bäude"/>
      <sheetName val="Standardwerte Klima"/>
    </sheetNames>
    <sheetDataSet>
      <sheetData sheetId="0" refreshError="1"/>
      <sheetData sheetId="1">
        <row r="6">
          <cell r="O6" t="str">
            <v>aktuell</v>
          </cell>
        </row>
        <row r="8">
          <cell r="O8">
            <v>3.5507499999999999</v>
          </cell>
        </row>
        <row r="12">
          <cell r="O12">
            <v>15</v>
          </cell>
        </row>
        <row r="14">
          <cell r="O14">
            <v>275</v>
          </cell>
        </row>
        <row r="17">
          <cell r="O17">
            <v>86.4</v>
          </cell>
        </row>
        <row r="18">
          <cell r="O18">
            <v>82.08</v>
          </cell>
        </row>
        <row r="21">
          <cell r="N21" t="str">
            <v>H</v>
          </cell>
          <cell r="O21">
            <v>745</v>
          </cell>
        </row>
        <row r="22">
          <cell r="N22" t="str">
            <v>S</v>
          </cell>
          <cell r="O22">
            <v>584</v>
          </cell>
        </row>
        <row r="23">
          <cell r="N23" t="str">
            <v>SO/SW</v>
          </cell>
          <cell r="O23">
            <v>565</v>
          </cell>
        </row>
        <row r="24">
          <cell r="N24" t="str">
            <v>O/W</v>
          </cell>
          <cell r="O24">
            <v>480</v>
          </cell>
        </row>
        <row r="25">
          <cell r="N25" t="str">
            <v>NO/NW</v>
          </cell>
          <cell r="O25">
            <v>400</v>
          </cell>
        </row>
        <row r="26">
          <cell r="N26" t="str">
            <v>N</v>
          </cell>
          <cell r="O26">
            <v>295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875" row="3">
    <wetp:webextensionref xmlns:r="http://schemas.openxmlformats.org/officeDocument/2006/relationships" r:id="rId1"/>
  </wetp:taskpane>
  <wetp:taskpane dockstate="right" visibility="0" width="875" row="5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2FEFE592-F48A-416A-876E-F6B12A615EAC}">
  <we:reference id="wa104051163" version="1.2.0.3" store="de-DE" storeType="OMEX"/>
  <we:alternateReferences>
    <we:reference id="WA104051163" version="1.2.0.3" store="WA104051163" storeType="OMEX"/>
  </we:alternateReferences>
  <we:properties/>
  <we:bindings/>
  <we:snapshot xmlns:r="http://schemas.openxmlformats.org/officeDocument/2006/relationships"/>
</we:webextension>
</file>

<file path=xl/webextensions/webextension2.xml><?xml version="1.0" encoding="utf-8"?>
<we:webextension xmlns:we="http://schemas.microsoft.com/office/webextensions/webextension/2010/11" id="{326CF10F-78F0-4093-8140-E2811563BAFA}">
  <we:reference id="wa200003220" version="1.0.0.0" store="de-DE" storeType="OMEX"/>
  <we:alternateReferences>
    <we:reference id="WA200003220" version="1.0.0.0" store="WA200003220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9B1DE-F1D6-4C1E-93D0-2C90B2A44FB5}">
  <dimension ref="B1:AJ63"/>
  <sheetViews>
    <sheetView showGridLines="0" topLeftCell="L32" zoomScale="75" zoomScaleNormal="70" workbookViewId="0">
      <selection activeCell="M45" sqref="M45"/>
    </sheetView>
  </sheetViews>
  <sheetFormatPr baseColWidth="10" defaultRowHeight="14.4" x14ac:dyDescent="0.55000000000000004"/>
  <cols>
    <col min="1" max="1" width="13.578125" style="1" customWidth="1"/>
    <col min="2" max="12" width="10.9453125" style="1"/>
    <col min="13" max="13" width="18.15625" style="1" customWidth="1"/>
    <col min="14" max="14" width="12.15625" style="1" bestFit="1" customWidth="1"/>
    <col min="15" max="15" width="17.578125" style="1" customWidth="1"/>
    <col min="16" max="16" width="13.1015625" style="1" customWidth="1"/>
    <col min="17" max="17" width="18.41796875" style="4" customWidth="1"/>
    <col min="18" max="20" width="24.20703125" style="4" customWidth="1"/>
    <col min="21" max="21" width="24" style="4" customWidth="1"/>
    <col min="22" max="22" width="16.47265625" style="4" customWidth="1"/>
    <col min="23" max="25" width="16.47265625" style="1" customWidth="1"/>
    <col min="26" max="26" width="12.26171875" style="1" customWidth="1"/>
    <col min="27" max="29" width="19.41796875" style="1" customWidth="1"/>
    <col min="30" max="30" width="10.9453125" style="1"/>
    <col min="31" max="33" width="15.20703125" style="1" customWidth="1"/>
    <col min="34" max="16384" width="10.9453125" style="1"/>
  </cols>
  <sheetData>
    <row r="1" spans="5:32" x14ac:dyDescent="0.55000000000000004">
      <c r="P1" s="2">
        <v>10000</v>
      </c>
      <c r="Q1" s="1" t="s">
        <v>0</v>
      </c>
      <c r="R1" s="3" t="s">
        <v>1</v>
      </c>
      <c r="S1" s="3"/>
    </row>
    <row r="2" spans="5:32" x14ac:dyDescent="0.55000000000000004">
      <c r="M2" s="5" t="s">
        <v>2</v>
      </c>
      <c r="N2" s="5">
        <v>115</v>
      </c>
      <c r="O2" s="5" t="s">
        <v>3</v>
      </c>
      <c r="P2" s="2">
        <v>70</v>
      </c>
      <c r="Q2" s="1" t="s">
        <v>4</v>
      </c>
      <c r="R2" s="3"/>
      <c r="S2" s="3"/>
      <c r="AA2" s="1" t="s">
        <v>130</v>
      </c>
    </row>
    <row r="3" spans="5:32" x14ac:dyDescent="0.55000000000000004">
      <c r="N3" s="5" t="s">
        <v>5</v>
      </c>
      <c r="P3" s="1">
        <f>P1/P2</f>
        <v>142.85714285714286</v>
      </c>
      <c r="R3" s="3"/>
      <c r="S3" s="3"/>
    </row>
    <row r="4" spans="5:32" x14ac:dyDescent="0.55000000000000004">
      <c r="N4" s="5" t="s">
        <v>6</v>
      </c>
    </row>
    <row r="8" spans="5:32" x14ac:dyDescent="0.55000000000000004">
      <c r="M8" s="6" t="s">
        <v>7</v>
      </c>
    </row>
    <row r="9" spans="5:32" x14ac:dyDescent="0.55000000000000004">
      <c r="O9" s="1" t="s">
        <v>8</v>
      </c>
      <c r="P9" s="1" t="s">
        <v>9</v>
      </c>
      <c r="Q9" s="1" t="s">
        <v>10</v>
      </c>
      <c r="R9" s="1" t="s">
        <v>11</v>
      </c>
      <c r="S9" s="1" t="s">
        <v>12</v>
      </c>
    </row>
    <row r="10" spans="5:32" x14ac:dyDescent="0.55000000000000004">
      <c r="M10" s="7" t="s">
        <v>13</v>
      </c>
      <c r="N10" s="8" t="s">
        <v>14</v>
      </c>
      <c r="O10" s="8">
        <v>2294</v>
      </c>
      <c r="P10" s="8">
        <v>3.35</v>
      </c>
      <c r="Q10" s="8"/>
      <c r="R10" s="9">
        <f t="shared" ref="R10:R19" si="0">(O10/1000)*P10</f>
        <v>7.6849000000000007</v>
      </c>
      <c r="S10" s="8">
        <v>1000</v>
      </c>
      <c r="T10" s="10">
        <f t="shared" ref="T10:T19" si="1">S10*R10</f>
        <v>7684.9000000000005</v>
      </c>
    </row>
    <row r="11" spans="5:32" x14ac:dyDescent="0.55000000000000004">
      <c r="M11" s="7"/>
      <c r="N11" s="8" t="s">
        <v>15</v>
      </c>
      <c r="O11" s="8">
        <v>1683</v>
      </c>
      <c r="P11" s="8">
        <v>2.4500000000000002</v>
      </c>
      <c r="Q11" s="8"/>
      <c r="R11" s="9">
        <f t="shared" si="0"/>
        <v>4.1233500000000003</v>
      </c>
      <c r="S11" s="8">
        <v>1000</v>
      </c>
      <c r="T11" s="10">
        <f t="shared" si="1"/>
        <v>4123.3500000000004</v>
      </c>
    </row>
    <row r="12" spans="5:32" ht="14.4" customHeight="1" x14ac:dyDescent="0.55000000000000004">
      <c r="M12" s="7"/>
      <c r="N12" s="8" t="s">
        <v>16</v>
      </c>
      <c r="O12" s="8">
        <v>595</v>
      </c>
      <c r="P12" s="8">
        <v>0.8</v>
      </c>
      <c r="Q12" s="8"/>
      <c r="R12" s="9">
        <f t="shared" si="0"/>
        <v>0.47599999999999998</v>
      </c>
      <c r="S12" s="8">
        <v>1000</v>
      </c>
      <c r="T12" s="10">
        <f t="shared" si="1"/>
        <v>476</v>
      </c>
      <c r="AA12" s="111" t="s">
        <v>17</v>
      </c>
      <c r="AB12" s="111"/>
      <c r="AC12" s="111"/>
      <c r="AD12" s="111"/>
      <c r="AE12" s="111"/>
      <c r="AF12" s="111"/>
    </row>
    <row r="13" spans="5:32" x14ac:dyDescent="0.55000000000000004">
      <c r="M13" s="7"/>
      <c r="N13" s="8" t="s">
        <v>18</v>
      </c>
      <c r="O13" s="8">
        <v>1533</v>
      </c>
      <c r="P13" s="8">
        <v>2.23</v>
      </c>
      <c r="Q13" s="8"/>
      <c r="R13" s="9">
        <f t="shared" si="0"/>
        <v>3.4185899999999996</v>
      </c>
      <c r="S13" s="8">
        <v>1000</v>
      </c>
      <c r="T13" s="10">
        <f t="shared" si="1"/>
        <v>3418.5899999999997</v>
      </c>
      <c r="AA13" s="111"/>
      <c r="AB13" s="111"/>
      <c r="AC13" s="111"/>
      <c r="AD13" s="111"/>
      <c r="AE13" s="111"/>
      <c r="AF13" s="111"/>
    </row>
    <row r="14" spans="5:32" x14ac:dyDescent="0.55000000000000004">
      <c r="M14" s="7"/>
      <c r="N14" s="8" t="s">
        <v>19</v>
      </c>
      <c r="O14" s="8">
        <v>595</v>
      </c>
      <c r="P14" s="8">
        <v>0.8</v>
      </c>
      <c r="Q14" s="8"/>
      <c r="R14" s="9">
        <f t="shared" si="0"/>
        <v>0.47599999999999998</v>
      </c>
      <c r="S14" s="8">
        <v>1000</v>
      </c>
      <c r="T14" s="10">
        <f t="shared" si="1"/>
        <v>476</v>
      </c>
      <c r="AA14" s="111" t="s">
        <v>20</v>
      </c>
      <c r="AB14" s="111"/>
      <c r="AC14" s="111"/>
      <c r="AD14" s="111"/>
      <c r="AE14" s="111"/>
      <c r="AF14" s="111"/>
    </row>
    <row r="15" spans="5:32" x14ac:dyDescent="0.55000000000000004">
      <c r="E15" s="6" t="s">
        <v>21</v>
      </c>
      <c r="M15" s="7"/>
      <c r="N15" s="8" t="s">
        <v>22</v>
      </c>
      <c r="O15" s="8">
        <v>1022</v>
      </c>
      <c r="P15" s="8">
        <v>1.49</v>
      </c>
      <c r="Q15" s="8"/>
      <c r="R15" s="9">
        <f t="shared" si="0"/>
        <v>1.52278</v>
      </c>
      <c r="S15" s="8">
        <v>1000</v>
      </c>
      <c r="T15" s="10">
        <f t="shared" si="1"/>
        <v>1522.78</v>
      </c>
      <c r="U15" s="4">
        <f>SUM(T10:T15)</f>
        <v>17701.62</v>
      </c>
      <c r="AA15" s="111"/>
      <c r="AB15" s="111"/>
      <c r="AC15" s="111"/>
      <c r="AD15" s="111"/>
      <c r="AE15" s="111"/>
      <c r="AF15" s="111"/>
    </row>
    <row r="16" spans="5:32" x14ac:dyDescent="0.55000000000000004">
      <c r="E16" s="1" t="s">
        <v>23</v>
      </c>
      <c r="M16" s="7" t="s">
        <v>24</v>
      </c>
      <c r="N16" s="8" t="s">
        <v>18</v>
      </c>
      <c r="O16" s="8">
        <v>1000</v>
      </c>
      <c r="P16" s="8">
        <v>1</v>
      </c>
      <c r="Q16" s="8"/>
      <c r="R16" s="9">
        <f t="shared" si="0"/>
        <v>1</v>
      </c>
      <c r="S16" s="8">
        <v>1000</v>
      </c>
      <c r="T16" s="10">
        <f t="shared" si="1"/>
        <v>1000</v>
      </c>
      <c r="AA16" s="111" t="s">
        <v>25</v>
      </c>
      <c r="AB16" s="111"/>
      <c r="AC16" s="111"/>
      <c r="AD16" s="111"/>
      <c r="AE16" s="111"/>
      <c r="AF16" s="111"/>
    </row>
    <row r="17" spans="3:36" x14ac:dyDescent="0.55000000000000004">
      <c r="E17" s="1" t="str">
        <f>E24</f>
        <v>Zimmer1</v>
      </c>
      <c r="M17" s="7"/>
      <c r="N17" s="8" t="s">
        <v>19</v>
      </c>
      <c r="O17" s="8">
        <v>1000</v>
      </c>
      <c r="P17" s="8">
        <v>1</v>
      </c>
      <c r="Q17" s="8"/>
      <c r="R17" s="9">
        <f t="shared" si="0"/>
        <v>1</v>
      </c>
      <c r="S17" s="8">
        <v>1000</v>
      </c>
      <c r="T17" s="10">
        <f t="shared" si="1"/>
        <v>1000</v>
      </c>
      <c r="AA17" s="111"/>
      <c r="AB17" s="111"/>
      <c r="AC17" s="111"/>
      <c r="AD17" s="111"/>
      <c r="AE17" s="111"/>
      <c r="AF17" s="111"/>
    </row>
    <row r="18" spans="3:36" x14ac:dyDescent="0.55000000000000004">
      <c r="E18" s="1" t="str">
        <f>I24</f>
        <v>Zimmer 2</v>
      </c>
      <c r="F18" s="1">
        <f>I30</f>
        <v>3080.2639999999997</v>
      </c>
      <c r="M18" s="7"/>
      <c r="N18" s="8" t="s">
        <v>22</v>
      </c>
      <c r="O18" s="8">
        <v>1000</v>
      </c>
      <c r="P18" s="8">
        <v>1</v>
      </c>
      <c r="Q18" s="8"/>
      <c r="R18" s="9">
        <f t="shared" si="0"/>
        <v>1</v>
      </c>
      <c r="S18" s="8">
        <v>1000</v>
      </c>
      <c r="T18" s="10">
        <f t="shared" si="1"/>
        <v>1000</v>
      </c>
      <c r="AB18" s="11"/>
      <c r="AC18" s="11"/>
    </row>
    <row r="19" spans="3:36" ht="17.100000000000001" x14ac:dyDescent="0.55000000000000004">
      <c r="E19" s="1" t="str">
        <f>E35</f>
        <v>Zimmer 3</v>
      </c>
      <c r="F19" s="1">
        <f>E41</f>
        <v>3080.2639999999997</v>
      </c>
      <c r="M19" s="7"/>
      <c r="N19" s="8" t="s">
        <v>28</v>
      </c>
      <c r="O19" s="8">
        <v>1000</v>
      </c>
      <c r="P19" s="8">
        <v>1</v>
      </c>
      <c r="Q19" s="8"/>
      <c r="R19" s="9">
        <f t="shared" si="0"/>
        <v>1</v>
      </c>
      <c r="S19" s="8">
        <v>1000</v>
      </c>
      <c r="T19" s="10">
        <f t="shared" si="1"/>
        <v>1000</v>
      </c>
      <c r="U19" s="4">
        <f>SUM(T14:T19)</f>
        <v>5998.78</v>
      </c>
      <c r="AA19" s="12" t="s">
        <v>26</v>
      </c>
      <c r="AB19" s="11"/>
      <c r="AC19" s="11"/>
    </row>
    <row r="20" spans="3:36" ht="17.100000000000001" x14ac:dyDescent="0.55000000000000004">
      <c r="E20" s="1" t="str">
        <f>I35</f>
        <v>Zimmer 4</v>
      </c>
      <c r="F20" s="1">
        <f>I41</f>
        <v>8873.9999999999982</v>
      </c>
      <c r="Q20" s="1"/>
      <c r="S20" s="4">
        <f>SUM(S10:S19)</f>
        <v>10000</v>
      </c>
      <c r="AA20" s="12" t="s">
        <v>27</v>
      </c>
      <c r="AB20" s="11"/>
      <c r="AC20" s="11"/>
    </row>
    <row r="21" spans="3:36" x14ac:dyDescent="0.55000000000000004">
      <c r="F21" s="1">
        <f>SUM(F18:F20)</f>
        <v>15034.527999999998</v>
      </c>
      <c r="M21" s="13" t="s">
        <v>30</v>
      </c>
      <c r="N21" s="14"/>
      <c r="O21" s="14"/>
      <c r="P21" s="14"/>
      <c r="Q21" s="15"/>
      <c r="R21" s="15" t="s">
        <v>31</v>
      </c>
      <c r="S21" s="15"/>
      <c r="T21" s="15" t="s">
        <v>32</v>
      </c>
      <c r="U21" s="16" t="s">
        <v>33</v>
      </c>
      <c r="AA21" s="11" t="s">
        <v>29</v>
      </c>
      <c r="AB21" s="11"/>
      <c r="AC21" s="11"/>
    </row>
    <row r="22" spans="3:36" ht="24.6" x14ac:dyDescent="0.55000000000000004">
      <c r="M22" s="17" t="s">
        <v>33</v>
      </c>
      <c r="N22" s="18">
        <v>10000</v>
      </c>
      <c r="Q22" s="4" t="s">
        <v>34</v>
      </c>
      <c r="R22" s="19">
        <v>70</v>
      </c>
      <c r="T22" s="4">
        <f>100-R22</f>
        <v>30</v>
      </c>
      <c r="U22" s="20"/>
      <c r="AA22" s="23" t="s">
        <v>35</v>
      </c>
      <c r="AB22" s="24" t="s">
        <v>36</v>
      </c>
      <c r="AC22" s="25" t="s">
        <v>37</v>
      </c>
      <c r="AD22" s="21"/>
      <c r="AE22" s="22"/>
      <c r="AF22" s="22"/>
      <c r="AG22" s="22"/>
      <c r="AH22" s="22"/>
      <c r="AI22" s="22"/>
      <c r="AJ22" s="22"/>
    </row>
    <row r="23" spans="3:36" ht="49.2" x14ac:dyDescent="0.55000000000000004">
      <c r="M23" s="17"/>
      <c r="R23" s="26" t="str">
        <f>CONCATENATE(M22," * ",R22," % = ",ROUND(N22*(R22/100),2),"€")</f>
        <v>Gesamtkosten * 70 % = 7000€</v>
      </c>
      <c r="T23" s="26" t="str">
        <f>CONCATENATE(N22," * ",T22," % = ",ROUND(N22*(T22/100),2),"€")</f>
        <v>10000 * 30 % = 3000€</v>
      </c>
      <c r="U23" s="27"/>
      <c r="V23" s="28"/>
      <c r="AA23" s="30" t="s">
        <v>38</v>
      </c>
      <c r="AB23" s="31"/>
      <c r="AC23" s="32"/>
      <c r="AD23" s="29"/>
    </row>
    <row r="24" spans="3:36" ht="24.6" x14ac:dyDescent="0.55000000000000004">
      <c r="C24" s="1" t="s">
        <v>39</v>
      </c>
      <c r="E24" s="2" t="s">
        <v>40</v>
      </c>
      <c r="G24" s="1" t="s">
        <v>10</v>
      </c>
      <c r="I24" s="2" t="s">
        <v>15</v>
      </c>
      <c r="M24" s="33" t="s">
        <v>41</v>
      </c>
      <c r="N24" s="34">
        <f>SUM(N29:N33)</f>
        <v>77040</v>
      </c>
      <c r="O24" s="35" t="s">
        <v>42</v>
      </c>
      <c r="P24" s="34">
        <f>SUM(P29:P33)</f>
        <v>233</v>
      </c>
      <c r="Q24" s="36" t="s">
        <v>43</v>
      </c>
      <c r="R24" s="37">
        <v>125000</v>
      </c>
      <c r="S24" s="36" t="s">
        <v>44</v>
      </c>
      <c r="T24" s="35"/>
      <c r="U24" s="38">
        <f>SUM(U30:U33)</f>
        <v>10000</v>
      </c>
      <c r="V24" s="39"/>
      <c r="AA24" s="40" t="s">
        <v>45</v>
      </c>
      <c r="AB24" s="41"/>
      <c r="AC24" s="42"/>
      <c r="AD24" s="29"/>
    </row>
    <row r="25" spans="3:36" ht="28.5" customHeight="1" x14ac:dyDescent="0.55000000000000004">
      <c r="E25" s="2"/>
      <c r="I25" s="2"/>
      <c r="O25" s="4"/>
      <c r="Q25" s="43"/>
      <c r="R25" s="43"/>
      <c r="S25" s="43"/>
      <c r="AA25" s="40" t="s">
        <v>46</v>
      </c>
      <c r="AB25" s="107">
        <v>1</v>
      </c>
      <c r="AC25" s="107">
        <f t="shared" ref="AC25:AC33" si="2">1-AB25</f>
        <v>0</v>
      </c>
      <c r="AD25" s="29" t="str">
        <f>IF(AND(AG25&gt;AI25,AG25&lt;AJ25),AB25,"")</f>
        <v/>
      </c>
      <c r="AE25" s="1" t="str">
        <f>IF(AND(AG25&gt;AI25,AG25&lt;AJ25),AC25,"")</f>
        <v/>
      </c>
      <c r="AG25" s="1">
        <f>ROUND(((Q36*Q37)/1000)/P44,1)</f>
        <v>39.6</v>
      </c>
      <c r="AH25" s="1" t="str">
        <f t="shared" ref="AH25:AH34" si="3">IF(AND(AG25&gt;AI25,AG25&lt;AJ25),1,"")</f>
        <v/>
      </c>
      <c r="AI25" s="1">
        <v>0</v>
      </c>
      <c r="AJ25" s="1">
        <v>12</v>
      </c>
    </row>
    <row r="26" spans="3:36" ht="28.5" customHeight="1" x14ac:dyDescent="0.55000000000000004">
      <c r="C26" s="1" t="s">
        <v>8</v>
      </c>
      <c r="E26" s="2">
        <v>1700</v>
      </c>
      <c r="G26" s="1" t="s">
        <v>8</v>
      </c>
      <c r="I26" s="2">
        <v>1700</v>
      </c>
      <c r="M26" s="44"/>
      <c r="N26" s="45"/>
      <c r="O26" s="45"/>
      <c r="P26" s="45"/>
      <c r="Q26" s="46" t="s">
        <v>47</v>
      </c>
      <c r="R26" s="47"/>
      <c r="S26" s="46" t="s">
        <v>32</v>
      </c>
      <c r="T26" s="47"/>
      <c r="U26" s="46" t="s">
        <v>33</v>
      </c>
      <c r="V26" s="48"/>
      <c r="W26" s="47"/>
      <c r="AA26" s="40" t="s">
        <v>48</v>
      </c>
      <c r="AB26" s="107">
        <v>0.9</v>
      </c>
      <c r="AC26" s="107">
        <f t="shared" si="2"/>
        <v>9.9999999999999978E-2</v>
      </c>
      <c r="AD26" s="29" t="str">
        <f>IF(AND(AG26&gt;AI26,AG26&lt;AJ26),AB26,"")</f>
        <v/>
      </c>
      <c r="AE26" s="1" t="str">
        <f>IF(AND(AG26&gt;AI26,AG26&lt;AJ26),AC26,"")</f>
        <v/>
      </c>
      <c r="AG26" s="1">
        <f>ROUND(((Q36*Q37)/1000)/P44,1)</f>
        <v>39.6</v>
      </c>
      <c r="AH26" s="1" t="str">
        <f t="shared" si="3"/>
        <v/>
      </c>
      <c r="AI26" s="1">
        <f>AJ25</f>
        <v>12</v>
      </c>
      <c r="AJ26" s="1">
        <v>17</v>
      </c>
    </row>
    <row r="27" spans="3:36" ht="27.3" x14ac:dyDescent="0.55000000000000004">
      <c r="C27" s="1" t="s">
        <v>9</v>
      </c>
      <c r="E27" s="2">
        <v>1.1599999999999999</v>
      </c>
      <c r="G27" s="1" t="s">
        <v>9</v>
      </c>
      <c r="I27" s="2">
        <v>1.1599999999999999</v>
      </c>
      <c r="M27" s="49" t="s">
        <v>49</v>
      </c>
      <c r="N27" s="49"/>
      <c r="O27" s="49"/>
      <c r="P27" s="49"/>
      <c r="Q27" s="10" t="s">
        <v>34</v>
      </c>
      <c r="R27" s="10" t="s">
        <v>50</v>
      </c>
      <c r="S27" s="10" t="s">
        <v>34</v>
      </c>
      <c r="T27" s="10" t="s">
        <v>50</v>
      </c>
      <c r="U27" s="50"/>
      <c r="V27" s="50"/>
      <c r="W27" s="10" t="s">
        <v>50</v>
      </c>
      <c r="AA27" s="40" t="s">
        <v>51</v>
      </c>
      <c r="AB27" s="107">
        <v>0.8</v>
      </c>
      <c r="AC27" s="107">
        <f t="shared" si="2"/>
        <v>0.19999999999999996</v>
      </c>
      <c r="AD27" s="29" t="str">
        <f>IF(AND(AG27&gt;AI27,AG27&lt;AJ27),AB27,"")</f>
        <v/>
      </c>
      <c r="AE27" s="1" t="str">
        <f>IF(AND(AG27&gt;AI27,AG27&lt;AJ27),AC27,"")</f>
        <v/>
      </c>
      <c r="AG27" s="1">
        <f>ROUND(((Q36*Q37)/1000)/P44,1)</f>
        <v>39.6</v>
      </c>
      <c r="AH27" s="1" t="str">
        <f t="shared" si="3"/>
        <v/>
      </c>
      <c r="AI27" s="1">
        <f t="shared" ref="AI27:AI34" si="4">AJ26</f>
        <v>17</v>
      </c>
      <c r="AJ27" s="1">
        <v>22</v>
      </c>
    </row>
    <row r="28" spans="3:36" ht="27.3" x14ac:dyDescent="0.55000000000000004">
      <c r="E28" s="51" t="str">
        <f>CONCATENATE("Faktor ",C26,"/1000)*",C27)</f>
        <v xml:space="preserve">Faktor Heizleistung (Watt)/1000)*KC Wert </v>
      </c>
      <c r="G28" s="1" t="s">
        <v>11</v>
      </c>
      <c r="I28" s="52">
        <f>(I26/1000)*I27</f>
        <v>1.9719999999999998</v>
      </c>
      <c r="M28" s="53"/>
      <c r="N28" s="53" t="s">
        <v>12</v>
      </c>
      <c r="O28" s="53"/>
      <c r="P28" s="53" t="s">
        <v>52</v>
      </c>
      <c r="Q28" s="54" t="s">
        <v>53</v>
      </c>
      <c r="R28" s="55" t="str">
        <f>CONCATENATE(N28, " * Prozent")</f>
        <v>Einheiten * Prozent</v>
      </c>
      <c r="S28" s="54" t="s">
        <v>54</v>
      </c>
      <c r="T28" s="55" t="str">
        <f>CONCATENATE(P28, " * Prozent")</f>
        <v>Fläche * Prozent</v>
      </c>
      <c r="U28" s="50" t="str">
        <f>CONCATENATE(R21," + ",T21)</f>
        <v>Verbrauch + Grundkosten</v>
      </c>
      <c r="V28" s="50"/>
      <c r="W28" s="50" t="s">
        <v>55</v>
      </c>
      <c r="AA28" s="40" t="s">
        <v>56</v>
      </c>
      <c r="AB28" s="107">
        <v>0.7</v>
      </c>
      <c r="AC28" s="107">
        <f t="shared" si="2"/>
        <v>0.30000000000000004</v>
      </c>
      <c r="AD28" s="29" t="str">
        <f>IF(AND(AG28&gt;AI28,AG28&lt;AJ28),AB28,"")</f>
        <v/>
      </c>
      <c r="AE28" s="1" t="str">
        <f>IF(AND(AG28&gt;AI28,AG28&lt;AJ28),AC28,"")</f>
        <v/>
      </c>
      <c r="AG28" s="1">
        <f>ROUND(((Q36*Q37)/1000)/P44,1)</f>
        <v>39.6</v>
      </c>
      <c r="AH28" s="1" t="str">
        <f t="shared" si="3"/>
        <v/>
      </c>
      <c r="AI28" s="1">
        <f t="shared" si="4"/>
        <v>22</v>
      </c>
      <c r="AJ28" s="1">
        <v>27</v>
      </c>
    </row>
    <row r="29" spans="3:36" ht="25.5" customHeight="1" x14ac:dyDescent="0.55000000000000004">
      <c r="C29" s="1" t="s">
        <v>12</v>
      </c>
      <c r="E29" s="2">
        <v>1562</v>
      </c>
      <c r="G29" s="1" t="s">
        <v>12</v>
      </c>
      <c r="I29" s="2">
        <v>1562</v>
      </c>
      <c r="M29" s="56" t="s">
        <v>13</v>
      </c>
      <c r="N29" s="57">
        <v>14123</v>
      </c>
      <c r="O29" s="56" t="s">
        <v>43</v>
      </c>
      <c r="P29" s="57">
        <v>68</v>
      </c>
      <c r="Q29" s="58" t="str">
        <f>CONCATENATE(ROUND(N29,0)," Einheiten WE/ NE / ",ROUND($N$24,0),"Gesamt Einheiten")</f>
        <v>14123 Einheiten WE/ NE / 77040Gesamt Einheiten</v>
      </c>
      <c r="R29" s="58" t="str">
        <f>CONCATENATE($R$23,"*(",Q29,")")</f>
        <v>Gesamtkosten * 70 % = 7000€*(14123 Einheiten WE/ NE / 77040Gesamt Einheiten)</v>
      </c>
      <c r="S29" s="58" t="str">
        <f>CONCATENATE(ROUND(P29,0),"m² WE /NE /",ROUND(P24,0),"m² Gesamt")</f>
        <v>68m² WE /NE /233m² Gesamt</v>
      </c>
      <c r="T29" s="58" t="str">
        <f>CONCATENATE($T$23,"*(",S29,")")</f>
        <v>10000 * 30 % = 3000€*(68m² WE /NE /233m² Gesamt)</v>
      </c>
      <c r="U29" s="58" t="str">
        <f>CONCATENATE(Q26," + ",S26)</f>
        <v>Verbrauchskosten + Grundkosten</v>
      </c>
      <c r="V29" s="58"/>
      <c r="W29" s="58" t="str">
        <f>CONCATENATE(U26,"/ ",P28)</f>
        <v>Gesamtkosten/ Fläche</v>
      </c>
      <c r="AA29" s="40" t="s">
        <v>57</v>
      </c>
      <c r="AB29" s="107">
        <v>0.6</v>
      </c>
      <c r="AC29" s="107">
        <f t="shared" si="2"/>
        <v>0.4</v>
      </c>
      <c r="AD29" s="29" t="str">
        <f>IF(AND(AG29&gt;AI29,AG29&lt;AJ29),AB29,"")</f>
        <v/>
      </c>
      <c r="AE29" s="1" t="str">
        <f>IF(AND(AG29&gt;AI29,AG29&lt;AJ29),AC29,"")</f>
        <v/>
      </c>
      <c r="AG29" s="1">
        <f>ROUND(((Q36*Q37)/1000)/P44,1)</f>
        <v>39.6</v>
      </c>
      <c r="AH29" s="1" t="str">
        <f t="shared" si="3"/>
        <v/>
      </c>
      <c r="AI29" s="1">
        <f t="shared" si="4"/>
        <v>27</v>
      </c>
      <c r="AJ29" s="1">
        <v>32</v>
      </c>
    </row>
    <row r="30" spans="3:36" ht="27.3" x14ac:dyDescent="0.55000000000000004">
      <c r="E30" s="4" t="str">
        <f>CONCATENATE(C29,"* Faktor")</f>
        <v>Einheiten* Faktor</v>
      </c>
      <c r="I30" s="4">
        <f>I29*I28</f>
        <v>3080.2639999999997</v>
      </c>
      <c r="M30" s="53"/>
      <c r="N30" s="59"/>
      <c r="O30" s="60">
        <v>14123</v>
      </c>
      <c r="P30" s="61"/>
      <c r="Q30" s="62">
        <f>O30/$N$24</f>
        <v>0.18332035306334371</v>
      </c>
      <c r="R30" s="63">
        <f>N22*(R22/100)*Q30</f>
        <v>1283.242471443406</v>
      </c>
      <c r="S30" s="62">
        <f>P29/$P$24</f>
        <v>0.29184549356223177</v>
      </c>
      <c r="T30" s="63">
        <f>(N22*(T22/100)*S30)</f>
        <v>875.53648068669531</v>
      </c>
      <c r="U30" s="63">
        <f>R30+T30</f>
        <v>2158.7789521301011</v>
      </c>
      <c r="V30" s="63"/>
      <c r="W30" s="63">
        <f>U30/P29</f>
        <v>31.746749296030899</v>
      </c>
      <c r="AA30" s="40" t="s">
        <v>58</v>
      </c>
      <c r="AB30" s="107">
        <v>0.5</v>
      </c>
      <c r="AC30" s="107">
        <f t="shared" si="2"/>
        <v>0.5</v>
      </c>
      <c r="AD30" s="29" t="str">
        <f>IF(AND(AG30&gt;AI30,AG30&lt;AJ30),AB30,"")</f>
        <v/>
      </c>
      <c r="AE30" s="1" t="str">
        <f>IF(AND(AG30&gt;AI30,AG30&lt;AJ30),AC30,"")</f>
        <v/>
      </c>
      <c r="AG30" s="1">
        <f>ROUND(((Q36*Q37)/1000)/P44,1)</f>
        <v>39.6</v>
      </c>
      <c r="AH30" s="1" t="str">
        <f t="shared" si="3"/>
        <v/>
      </c>
      <c r="AI30" s="1">
        <f t="shared" si="4"/>
        <v>32</v>
      </c>
      <c r="AJ30" s="1">
        <v>37</v>
      </c>
    </row>
    <row r="31" spans="3:36" ht="27.3" x14ac:dyDescent="0.55000000000000004">
      <c r="M31" s="7" t="s">
        <v>24</v>
      </c>
      <c r="N31" s="64">
        <v>15459</v>
      </c>
      <c r="O31" s="7" t="s">
        <v>43</v>
      </c>
      <c r="P31" s="64">
        <v>15</v>
      </c>
      <c r="Q31" s="65">
        <f>N31/$N$24</f>
        <v>0.20066199376947041</v>
      </c>
      <c r="R31" s="66">
        <f>N22*(R22/100)*Q31</f>
        <v>1404.633956386293</v>
      </c>
      <c r="S31" s="65">
        <f>P31/$P$24</f>
        <v>6.4377682403433473E-2</v>
      </c>
      <c r="T31" s="66">
        <f>(N22*(T22/100)*S31)</f>
        <v>193.13304721030042</v>
      </c>
      <c r="U31" s="66">
        <f>R31+T31</f>
        <v>1597.7670035965934</v>
      </c>
      <c r="V31" s="66"/>
      <c r="W31" s="66">
        <f>U31/P31</f>
        <v>106.5178002397729</v>
      </c>
      <c r="AA31" s="40" t="s">
        <v>59</v>
      </c>
      <c r="AB31" s="107">
        <v>0.4</v>
      </c>
      <c r="AC31" s="107">
        <f t="shared" si="2"/>
        <v>0.6</v>
      </c>
      <c r="AD31" s="29">
        <f>IF(AND(AG31&gt;AI31,AG31&lt;AJ31),AB31,"")</f>
        <v>0.4</v>
      </c>
      <c r="AE31" s="1">
        <f>IF(AND(AG31&gt;AI31,AG31&lt;AJ31),AC31,"")</f>
        <v>0.6</v>
      </c>
      <c r="AG31" s="1">
        <f>ROUND(((Q36*Q37)/1000)/P44,1)</f>
        <v>39.6</v>
      </c>
      <c r="AH31" s="1">
        <f t="shared" si="3"/>
        <v>1</v>
      </c>
      <c r="AI31" s="1">
        <f t="shared" si="4"/>
        <v>37</v>
      </c>
      <c r="AJ31" s="1">
        <v>42</v>
      </c>
    </row>
    <row r="32" spans="3:36" ht="27.3" x14ac:dyDescent="0.55000000000000004">
      <c r="M32" s="7" t="s">
        <v>60</v>
      </c>
      <c r="N32" s="64">
        <v>17458</v>
      </c>
      <c r="O32" s="7" t="s">
        <v>43</v>
      </c>
      <c r="P32" s="64">
        <v>75</v>
      </c>
      <c r="Q32" s="65">
        <f>N32/$N$24</f>
        <v>0.22660955347871237</v>
      </c>
      <c r="R32" s="66">
        <f>N22*(R22/100)*Q32</f>
        <v>1586.2668743509867</v>
      </c>
      <c r="S32" s="65">
        <f>P32/$P$24</f>
        <v>0.32188841201716739</v>
      </c>
      <c r="T32" s="66">
        <f>(N22*(T22/100)*S32)</f>
        <v>965.66523605150212</v>
      </c>
      <c r="U32" s="66">
        <f>R32+T32</f>
        <v>2551.9321104024889</v>
      </c>
      <c r="V32" s="66"/>
      <c r="W32" s="66">
        <f>U32/P32</f>
        <v>34.025761472033189</v>
      </c>
      <c r="AA32" s="40" t="s">
        <v>61</v>
      </c>
      <c r="AB32" s="107">
        <v>0.3</v>
      </c>
      <c r="AC32" s="107">
        <f t="shared" si="2"/>
        <v>0.7</v>
      </c>
      <c r="AD32" s="29" t="str">
        <f>IF(AND(AG32&gt;AI32,AG32&lt;AJ32),AB32,"")</f>
        <v/>
      </c>
      <c r="AE32" s="1" t="str">
        <f>IF(AND(AG32&gt;AI32,AG32&lt;AJ32),AC32,"")</f>
        <v/>
      </c>
      <c r="AG32" s="1">
        <f>ROUND(((Q36*Q37)/1000)/P44,1)</f>
        <v>39.6</v>
      </c>
      <c r="AH32" s="1" t="str">
        <f t="shared" si="3"/>
        <v/>
      </c>
      <c r="AI32" s="1">
        <f t="shared" si="4"/>
        <v>42</v>
      </c>
      <c r="AJ32" s="1">
        <v>47</v>
      </c>
    </row>
    <row r="33" spans="3:36" ht="27.3" x14ac:dyDescent="0.55000000000000004">
      <c r="M33" s="7" t="s">
        <v>62</v>
      </c>
      <c r="N33" s="64">
        <v>30000</v>
      </c>
      <c r="O33" s="7" t="s">
        <v>43</v>
      </c>
      <c r="P33" s="64">
        <v>75</v>
      </c>
      <c r="Q33" s="65">
        <f>N33/$N$24</f>
        <v>0.38940809968847351</v>
      </c>
      <c r="R33" s="66">
        <f>N22*(R22/100)*Q33</f>
        <v>2725.8566978193144</v>
      </c>
      <c r="S33" s="65">
        <f>P33/$P$24</f>
        <v>0.32188841201716739</v>
      </c>
      <c r="T33" s="66">
        <f>(N22*(T22/100)*S33)</f>
        <v>965.66523605150212</v>
      </c>
      <c r="U33" s="66">
        <f>R33+T33</f>
        <v>3691.5219338708166</v>
      </c>
      <c r="V33" s="66"/>
      <c r="W33" s="66">
        <f>U33/P33</f>
        <v>49.220292451610888</v>
      </c>
      <c r="AA33" s="40" t="s">
        <v>63</v>
      </c>
      <c r="AB33" s="107">
        <v>0.2</v>
      </c>
      <c r="AC33" s="107">
        <f t="shared" si="2"/>
        <v>0.8</v>
      </c>
      <c r="AD33" s="29" t="str">
        <f>IF(AND(AG33&gt;AI33,AG33&lt;AJ33),AB33,"")</f>
        <v/>
      </c>
      <c r="AE33" s="1" t="str">
        <f>IF(AND(AG33&gt;AI33,AG33&lt;AJ33),AC33,"")</f>
        <v/>
      </c>
      <c r="AG33" s="1">
        <f>ROUND(((Q36*Q37)/1000)/P44,1)</f>
        <v>39.6</v>
      </c>
      <c r="AH33" s="1" t="str">
        <f t="shared" si="3"/>
        <v/>
      </c>
      <c r="AI33" s="1">
        <f t="shared" si="4"/>
        <v>47</v>
      </c>
      <c r="AJ33" s="1">
        <v>52</v>
      </c>
    </row>
    <row r="34" spans="3:36" ht="15" x14ac:dyDescent="0.55000000000000004">
      <c r="AA34" s="40" t="s">
        <v>64</v>
      </c>
      <c r="AB34" s="107">
        <v>0.05</v>
      </c>
      <c r="AC34" s="107">
        <f>1-AB34</f>
        <v>0.95</v>
      </c>
      <c r="AD34" s="67" t="str">
        <f>IF(AND(AG34&gt;AI34,AG34&lt;AJ34),AB34,"")</f>
        <v/>
      </c>
      <c r="AE34" s="68" t="str">
        <f>IF(AND(AG34&gt;AI34,AG34&lt;AJ34),AC34,"")</f>
        <v/>
      </c>
      <c r="AF34" s="68"/>
      <c r="AG34" s="68">
        <f>ROUND(((Q36*Q37)/1000)/P44,1)</f>
        <v>39.6</v>
      </c>
      <c r="AH34" s="68" t="str">
        <f t="shared" si="3"/>
        <v/>
      </c>
      <c r="AI34" s="68">
        <f t="shared" si="4"/>
        <v>52</v>
      </c>
      <c r="AJ34" s="68">
        <v>1000</v>
      </c>
    </row>
    <row r="35" spans="3:36" x14ac:dyDescent="0.55000000000000004">
      <c r="C35" s="1" t="s">
        <v>10</v>
      </c>
      <c r="E35" s="2" t="s">
        <v>16</v>
      </c>
      <c r="G35" s="1" t="s">
        <v>10</v>
      </c>
      <c r="I35" s="2" t="s">
        <v>18</v>
      </c>
      <c r="M35" s="13" t="s">
        <v>112</v>
      </c>
      <c r="N35" s="14"/>
      <c r="O35" s="14"/>
      <c r="P35" s="14"/>
      <c r="Q35" s="15"/>
      <c r="R35" s="15"/>
      <c r="S35" s="15"/>
      <c r="T35" s="15"/>
      <c r="U35" s="15"/>
      <c r="V35" s="15"/>
      <c r="W35" s="16"/>
      <c r="X35" s="86"/>
      <c r="Y35" s="89"/>
      <c r="AF35" s="1">
        <f>MAX(AD25:AD34)</f>
        <v>0.4</v>
      </c>
      <c r="AG35" s="1">
        <f>MAX(AE25:AE34)</f>
        <v>0.6</v>
      </c>
    </row>
    <row r="36" spans="3:36" x14ac:dyDescent="0.55000000000000004">
      <c r="C36" s="1" t="s">
        <v>8</v>
      </c>
      <c r="E36" s="2">
        <v>1700</v>
      </c>
      <c r="G36" s="1" t="s">
        <v>8</v>
      </c>
      <c r="I36" s="2">
        <v>1700</v>
      </c>
      <c r="M36" s="17" t="s">
        <v>33</v>
      </c>
      <c r="N36" s="93">
        <f>Q36*0.12</f>
        <v>24000</v>
      </c>
      <c r="O36" s="90"/>
      <c r="P36" s="17" t="s">
        <v>65</v>
      </c>
      <c r="Q36" s="88">
        <v>200000</v>
      </c>
      <c r="R36" s="86"/>
      <c r="S36" s="86"/>
      <c r="T36" s="86"/>
      <c r="U36" s="86"/>
      <c r="V36" s="86"/>
      <c r="W36" s="70"/>
      <c r="X36" s="89"/>
      <c r="Y36" s="89"/>
      <c r="AA36" s="110" t="s">
        <v>66</v>
      </c>
    </row>
    <row r="37" spans="3:36" x14ac:dyDescent="0.55000000000000004">
      <c r="C37" s="1" t="s">
        <v>9</v>
      </c>
      <c r="E37" s="2">
        <v>1.1599999999999999</v>
      </c>
      <c r="G37" s="1" t="s">
        <v>9</v>
      </c>
      <c r="I37" s="2">
        <v>1.1599999999999999</v>
      </c>
      <c r="M37" s="17" t="s">
        <v>67</v>
      </c>
      <c r="N37" s="94">
        <f>N44</f>
        <v>208709</v>
      </c>
      <c r="O37" s="91" t="s">
        <v>68</v>
      </c>
      <c r="P37" s="17" t="s">
        <v>69</v>
      </c>
      <c r="Q37" s="87">
        <v>186</v>
      </c>
      <c r="R37" s="86"/>
      <c r="S37" s="86"/>
      <c r="T37" s="86"/>
      <c r="U37" s="86"/>
      <c r="V37" s="86"/>
      <c r="W37" s="70"/>
      <c r="X37" s="89"/>
      <c r="Y37" s="89"/>
    </row>
    <row r="38" spans="3:36" x14ac:dyDescent="0.55000000000000004">
      <c r="C38" s="1" t="s">
        <v>11</v>
      </c>
      <c r="E38" s="52">
        <f>(E36/1000)*E37</f>
        <v>1.9719999999999998</v>
      </c>
      <c r="G38" s="1" t="s">
        <v>11</v>
      </c>
      <c r="I38" s="52">
        <f>(I36/1000)*I37</f>
        <v>1.9719999999999998</v>
      </c>
      <c r="M38" s="17" t="s">
        <v>70</v>
      </c>
      <c r="N38" s="94">
        <f>P44</f>
        <v>940</v>
      </c>
      <c r="O38" s="91" t="s">
        <v>71</v>
      </c>
      <c r="P38" s="17" t="s">
        <v>72</v>
      </c>
      <c r="Q38" s="69">
        <v>30</v>
      </c>
      <c r="R38" s="92" t="str">
        <f>CONCATENATE(Q36*Q37," g CO² ;",(Q36*Q37)/1000," kg CO² ;",(Q36*Q37)/1000000," Tonnen CO² ; ",ROUND(((Q36*Q37)/1000)/P44,1)," kg CO² je m² mal CO² Kosten ",Q38,"€ je t = ",ROUND(((Q36*Q37)/1000000)*Q38,2),"€ Gesamt CO² Kosten")</f>
        <v>37200000 g CO² ;37200 kg CO² ;37,2 Tonnen CO² ; 39,6 kg CO² je m² mal CO² Kosten 30€ je t = 1116€ Gesamt CO² Kosten</v>
      </c>
      <c r="S38" s="86"/>
      <c r="T38" s="86"/>
      <c r="U38" s="86"/>
      <c r="V38" s="91"/>
      <c r="W38" s="20"/>
      <c r="X38" s="86"/>
      <c r="Y38" s="89"/>
    </row>
    <row r="39" spans="3:36" x14ac:dyDescent="0.55000000000000004">
      <c r="E39" s="52"/>
      <c r="I39" s="52"/>
      <c r="M39" s="109" t="s">
        <v>113</v>
      </c>
      <c r="N39" s="108">
        <v>0.3</v>
      </c>
      <c r="O39" s="36" t="s">
        <v>76</v>
      </c>
      <c r="P39" s="34"/>
      <c r="Q39" s="35"/>
      <c r="R39" s="35"/>
      <c r="S39" s="35"/>
      <c r="T39" s="35"/>
      <c r="U39" s="35"/>
      <c r="V39" s="36"/>
      <c r="W39" s="76"/>
      <c r="X39" s="86"/>
      <c r="Y39" s="89"/>
    </row>
    <row r="40" spans="3:36" x14ac:dyDescent="0.55000000000000004">
      <c r="C40" s="1" t="s">
        <v>12</v>
      </c>
      <c r="E40" s="2">
        <v>1562</v>
      </c>
      <c r="G40" s="1" t="s">
        <v>12</v>
      </c>
      <c r="I40" s="2">
        <v>4500</v>
      </c>
      <c r="M40" s="113" t="s">
        <v>114</v>
      </c>
      <c r="N40" s="114" t="s">
        <v>115</v>
      </c>
      <c r="O40" s="115" t="s">
        <v>116</v>
      </c>
      <c r="P40" s="115" t="s">
        <v>117</v>
      </c>
      <c r="Q40" s="115" t="s">
        <v>118</v>
      </c>
      <c r="R40" s="116" t="s">
        <v>119</v>
      </c>
      <c r="S40" s="115" t="s">
        <v>120</v>
      </c>
      <c r="T40" s="115" t="s">
        <v>121</v>
      </c>
      <c r="U40" s="116" t="s">
        <v>122</v>
      </c>
      <c r="V40" s="115" t="s">
        <v>123</v>
      </c>
      <c r="W40" s="115" t="s">
        <v>124</v>
      </c>
      <c r="X40" s="116" t="s">
        <v>125</v>
      </c>
      <c r="Y40" s="115" t="s">
        <v>126</v>
      </c>
      <c r="Z40" s="115" t="s">
        <v>127</v>
      </c>
      <c r="AA40" s="116" t="s">
        <v>128</v>
      </c>
      <c r="AB40" s="115" t="s">
        <v>129</v>
      </c>
    </row>
    <row r="41" spans="3:36" x14ac:dyDescent="0.55000000000000004">
      <c r="E41" s="4">
        <f>E40*E38</f>
        <v>3080.2639999999997</v>
      </c>
      <c r="I41" s="4">
        <f>I40*I38</f>
        <v>8873.9999999999982</v>
      </c>
      <c r="M41" s="13" t="s">
        <v>111</v>
      </c>
      <c r="N41" s="14"/>
      <c r="O41" s="14"/>
      <c r="P41" s="14"/>
      <c r="Q41" s="119" t="s">
        <v>89</v>
      </c>
      <c r="R41" s="118"/>
      <c r="S41" s="15" t="s">
        <v>109</v>
      </c>
      <c r="T41" s="15" t="s">
        <v>110</v>
      </c>
      <c r="U41" s="15" t="s">
        <v>75</v>
      </c>
      <c r="V41" s="14"/>
      <c r="W41" s="14"/>
      <c r="X41" s="15"/>
      <c r="Y41" s="15" t="s">
        <v>32</v>
      </c>
      <c r="Z41" s="16" t="s">
        <v>33</v>
      </c>
      <c r="AA41" s="4"/>
    </row>
    <row r="42" spans="3:36" x14ac:dyDescent="0.55000000000000004">
      <c r="S42" s="97">
        <f>AF35</f>
        <v>0.4</v>
      </c>
      <c r="T42" s="98">
        <f>AG35</f>
        <v>0.6</v>
      </c>
      <c r="U42" s="99">
        <v>0.03</v>
      </c>
      <c r="V42" s="100" t="s">
        <v>108</v>
      </c>
      <c r="W42" s="101">
        <f>N39</f>
        <v>0.3</v>
      </c>
      <c r="X42" s="100"/>
      <c r="Y42" s="102">
        <f>1-N39</f>
        <v>0.7</v>
      </c>
      <c r="Z42" s="20"/>
      <c r="AA42" s="4"/>
    </row>
    <row r="43" spans="3:36" x14ac:dyDescent="0.55000000000000004">
      <c r="M43" s="17"/>
      <c r="N43" s="70" t="s">
        <v>77</v>
      </c>
      <c r="O43" s="96" t="s">
        <v>78</v>
      </c>
      <c r="P43" s="96" t="s">
        <v>79</v>
      </c>
      <c r="Q43" s="96" t="s">
        <v>80</v>
      </c>
      <c r="R43" s="100" t="s">
        <v>81</v>
      </c>
      <c r="S43" s="100" t="s">
        <v>82</v>
      </c>
      <c r="T43" s="100" t="s">
        <v>83</v>
      </c>
      <c r="U43" s="96" t="s">
        <v>84</v>
      </c>
      <c r="V43" s="100"/>
      <c r="W43" s="103">
        <f>ROUND(N36*N39,2)</f>
        <v>7200</v>
      </c>
      <c r="X43" s="100"/>
      <c r="Y43" s="103">
        <f>ROUND(N36*(Y42),2)</f>
        <v>16800</v>
      </c>
      <c r="Z43" s="70"/>
      <c r="AA43" s="4"/>
    </row>
    <row r="44" spans="3:36" x14ac:dyDescent="0.55000000000000004">
      <c r="M44" s="33"/>
      <c r="N44" s="104">
        <f>SUM(N47:N60)</f>
        <v>208709</v>
      </c>
      <c r="O44" s="105">
        <f>SUM(O47:O60)</f>
        <v>200000</v>
      </c>
      <c r="P44" s="53">
        <f>SUM(P47:P60)</f>
        <v>940</v>
      </c>
      <c r="Q44" s="53">
        <f>SUM(Q47:Q60)</f>
        <v>37.199999999999996</v>
      </c>
      <c r="R44" s="106">
        <f>SUM(R47:R60)</f>
        <v>1116.0000000000002</v>
      </c>
      <c r="S44" s="53">
        <f t="shared" ref="S44:U44" si="5">SUM(S47:S60)</f>
        <v>446.40000000000009</v>
      </c>
      <c r="T44" s="53">
        <f t="shared" si="5"/>
        <v>669.6</v>
      </c>
      <c r="U44" s="53">
        <f t="shared" si="5"/>
        <v>719.99999999999989</v>
      </c>
      <c r="V44" s="54"/>
      <c r="W44" s="54"/>
      <c r="X44" s="54"/>
      <c r="Y44" s="54"/>
      <c r="Z44" s="71" t="str">
        <f>CONCATENATE("Kontrolle / Summe ",SUM(Z47:Z60)," €")</f>
        <v>Kontrolle / Summe 24000 €</v>
      </c>
      <c r="AA44" s="72"/>
    </row>
    <row r="45" spans="3:36" ht="43.2" x14ac:dyDescent="0.55000000000000004">
      <c r="M45" s="33"/>
      <c r="N45" s="34"/>
      <c r="O45" s="34"/>
      <c r="P45" s="73" t="s">
        <v>85</v>
      </c>
      <c r="Q45" s="117"/>
      <c r="U45" s="95" t="s">
        <v>107</v>
      </c>
      <c r="V45" s="74" t="s">
        <v>47</v>
      </c>
      <c r="W45" s="75"/>
      <c r="X45" s="74" t="s">
        <v>32</v>
      </c>
      <c r="Y45" s="75"/>
      <c r="Z45" s="76"/>
      <c r="AA45" s="112" t="s">
        <v>54</v>
      </c>
      <c r="AB45" s="10" t="s">
        <v>50</v>
      </c>
    </row>
    <row r="46" spans="3:36" x14ac:dyDescent="0.55000000000000004">
      <c r="M46" s="7"/>
      <c r="N46" s="7" t="s">
        <v>12</v>
      </c>
      <c r="O46" s="7" t="s">
        <v>86</v>
      </c>
      <c r="P46" s="7" t="s">
        <v>87</v>
      </c>
      <c r="Q46" s="7" t="s">
        <v>88</v>
      </c>
      <c r="R46" s="7" t="s">
        <v>89</v>
      </c>
      <c r="S46" s="7" t="s">
        <v>73</v>
      </c>
      <c r="T46" s="7" t="s">
        <v>74</v>
      </c>
      <c r="U46" s="7" t="s">
        <v>106</v>
      </c>
      <c r="V46" s="54" t="s">
        <v>53</v>
      </c>
      <c r="W46" s="55" t="str">
        <f>CONCATENATE(N46, " * Prozent")</f>
        <v>Einheiten * Prozent</v>
      </c>
      <c r="X46" s="54" t="s">
        <v>54</v>
      </c>
      <c r="Y46" s="55" t="str">
        <f>CONCATENATE(P46, " * Prozent")</f>
        <v>Fläche [m²] * Prozent</v>
      </c>
      <c r="Z46" s="66" t="str">
        <f>CONCATENATE(O39," + ",Y41)</f>
        <v>Verbrauch (50/50 oder 70/30) + Grundkosten</v>
      </c>
      <c r="AA46" s="4" t="s">
        <v>90</v>
      </c>
      <c r="AB46" s="50" t="s">
        <v>91</v>
      </c>
    </row>
    <row r="47" spans="3:36" x14ac:dyDescent="0.55000000000000004">
      <c r="M47" s="7" t="s">
        <v>13</v>
      </c>
      <c r="N47" s="8">
        <v>14123</v>
      </c>
      <c r="O47" s="77">
        <f>($Q$36/$N$44)*N47</f>
        <v>13533.676075301018</v>
      </c>
      <c r="P47" s="8">
        <v>68</v>
      </c>
      <c r="Q47" s="78">
        <f>(O47*$Q$37)/1000/1000</f>
        <v>2.5172637500059896</v>
      </c>
      <c r="R47" s="79">
        <f>Q47*$Q$38</f>
        <v>75.51791250017969</v>
      </c>
      <c r="S47" s="79">
        <f>R47*$S$42</f>
        <v>30.207165000071878</v>
      </c>
      <c r="T47" s="79">
        <f>R47*$T$42</f>
        <v>45.310747500107816</v>
      </c>
      <c r="U47" s="79">
        <f>Z47*$U$42</f>
        <v>51.075944629410195</v>
      </c>
      <c r="V47" s="65">
        <f t="shared" ref="V47:V60" si="6">N47/$N$44</f>
        <v>6.7668380376505091E-2</v>
      </c>
      <c r="W47" s="66">
        <f t="shared" ref="W47:W60" si="7">$W$43*V47</f>
        <v>487.21233871083666</v>
      </c>
      <c r="X47" s="65">
        <f t="shared" ref="X47:X60" si="8">P47/$P$44</f>
        <v>7.2340425531914887E-2</v>
      </c>
      <c r="Y47" s="66">
        <f t="shared" ref="Y47:Y60" si="9">$Y$43*X47</f>
        <v>1215.31914893617</v>
      </c>
      <c r="Z47" s="66">
        <f>W47+Y47</f>
        <v>1702.5314876470065</v>
      </c>
      <c r="AA47" s="80">
        <f>Z47/$N$36</f>
        <v>7.0938811985291936E-2</v>
      </c>
      <c r="AB47" s="66">
        <f t="shared" ref="AB47:AB60" si="10">IF(Z47&gt;0,Z47/P47,"")</f>
        <v>25.037227759514803</v>
      </c>
    </row>
    <row r="48" spans="3:36" x14ac:dyDescent="0.55000000000000004">
      <c r="M48" s="7" t="s">
        <v>24</v>
      </c>
      <c r="N48" s="8">
        <v>15459</v>
      </c>
      <c r="O48" s="77">
        <f t="shared" ref="O48:O60" si="11">($Q$36/$N$44)*N48</f>
        <v>14813.927525885325</v>
      </c>
      <c r="P48" s="8">
        <v>68</v>
      </c>
      <c r="Q48" s="78">
        <f t="shared" ref="Q48:Q62" si="12">(O48*$Q$37)/1000/1000</f>
        <v>2.7553905198146702</v>
      </c>
      <c r="R48" s="79">
        <f>Q48*$Q$38</f>
        <v>82.661715594440111</v>
      </c>
      <c r="S48" s="79">
        <f t="shared" ref="S48:S62" si="13">R48*$S$42</f>
        <v>33.064686237776044</v>
      </c>
      <c r="T48" s="79">
        <f t="shared" ref="T48:T62" si="14">R48*$T$42</f>
        <v>49.597029356664066</v>
      </c>
      <c r="U48" s="79">
        <f t="shared" ref="U48:U62" si="15">Z48*$U$42</f>
        <v>52.458616196041248</v>
      </c>
      <c r="V48" s="65">
        <f t="shared" si="6"/>
        <v>7.4069637629426616E-2</v>
      </c>
      <c r="W48" s="66">
        <f t="shared" si="7"/>
        <v>533.30139093187165</v>
      </c>
      <c r="X48" s="65">
        <f t="shared" si="8"/>
        <v>7.2340425531914887E-2</v>
      </c>
      <c r="Y48" s="66">
        <f t="shared" si="9"/>
        <v>1215.31914893617</v>
      </c>
      <c r="Z48" s="66">
        <f t="shared" ref="Z48:Z60" si="16">W48+Y48</f>
        <v>1748.6205398680418</v>
      </c>
      <c r="AA48" s="80">
        <f>Z48/$N$36</f>
        <v>7.2859189161168403E-2</v>
      </c>
      <c r="AB48" s="66">
        <f t="shared" si="10"/>
        <v>25.715007939235907</v>
      </c>
    </row>
    <row r="49" spans="2:28" x14ac:dyDescent="0.55000000000000004">
      <c r="M49" s="7" t="s">
        <v>60</v>
      </c>
      <c r="N49" s="8">
        <v>17998</v>
      </c>
      <c r="O49" s="77">
        <f t="shared" si="11"/>
        <v>17246.980245221817</v>
      </c>
      <c r="P49" s="8">
        <v>68</v>
      </c>
      <c r="Q49" s="78">
        <f t="shared" si="12"/>
        <v>3.2079383256112579</v>
      </c>
      <c r="R49" s="79">
        <f t="shared" ref="R49:R62" si="17">Q49*$Q$38</f>
        <v>96.238149768337735</v>
      </c>
      <c r="S49" s="79">
        <f t="shared" si="13"/>
        <v>38.495259907335097</v>
      </c>
      <c r="T49" s="79">
        <f t="shared" si="14"/>
        <v>57.742889861002638</v>
      </c>
      <c r="U49" s="79">
        <f t="shared" si="15"/>
        <v>55.086313132924658</v>
      </c>
      <c r="V49" s="65">
        <f t="shared" si="6"/>
        <v>8.6234901226109079E-2</v>
      </c>
      <c r="W49" s="66">
        <f t="shared" si="7"/>
        <v>620.89128882798536</v>
      </c>
      <c r="X49" s="65">
        <f t="shared" si="8"/>
        <v>7.2340425531914887E-2</v>
      </c>
      <c r="Y49" s="66">
        <f t="shared" si="9"/>
        <v>1215.31914893617</v>
      </c>
      <c r="Z49" s="66">
        <f t="shared" si="16"/>
        <v>1836.2104377641554</v>
      </c>
      <c r="AA49" s="80">
        <f>Z49/$N$36</f>
        <v>7.6508768240173136E-2</v>
      </c>
      <c r="AB49" s="66">
        <f t="shared" si="10"/>
        <v>27.003094673002284</v>
      </c>
    </row>
    <row r="50" spans="2:28" x14ac:dyDescent="0.55000000000000004">
      <c r="M50" s="7" t="s">
        <v>62</v>
      </c>
      <c r="N50" s="8">
        <v>14298</v>
      </c>
      <c r="O50" s="77">
        <f t="shared" si="11"/>
        <v>13701.37368297486</v>
      </c>
      <c r="P50" s="8">
        <v>76</v>
      </c>
      <c r="Q50" s="78">
        <f t="shared" si="12"/>
        <v>2.5484555050333237</v>
      </c>
      <c r="R50" s="79">
        <f t="shared" si="17"/>
        <v>76.453665150999711</v>
      </c>
      <c r="S50" s="79">
        <f t="shared" si="13"/>
        <v>30.581466060399887</v>
      </c>
      <c r="T50" s="79">
        <f t="shared" si="14"/>
        <v>45.872199090599828</v>
      </c>
      <c r="U50" s="79">
        <f t="shared" si="15"/>
        <v>55.546419747825617</v>
      </c>
      <c r="V50" s="65">
        <f t="shared" si="6"/>
        <v>6.85068684148743E-2</v>
      </c>
      <c r="W50" s="66">
        <f t="shared" si="7"/>
        <v>493.24945258709494</v>
      </c>
      <c r="X50" s="65">
        <f t="shared" si="8"/>
        <v>8.085106382978724E-2</v>
      </c>
      <c r="Y50" s="66">
        <f t="shared" si="9"/>
        <v>1358.2978723404256</v>
      </c>
      <c r="Z50" s="66">
        <f t="shared" si="16"/>
        <v>1851.5473249275205</v>
      </c>
      <c r="AA50" s="80">
        <f>Z50/$N$36</f>
        <v>7.714780520531335E-2</v>
      </c>
      <c r="AB50" s="66">
        <f t="shared" si="10"/>
        <v>24.362464801677902</v>
      </c>
    </row>
    <row r="51" spans="2:28" x14ac:dyDescent="0.55000000000000004">
      <c r="M51" s="7" t="s">
        <v>92</v>
      </c>
      <c r="N51" s="8">
        <v>17965</v>
      </c>
      <c r="O51" s="77">
        <f t="shared" si="11"/>
        <v>17215.357267774751</v>
      </c>
      <c r="P51" s="8">
        <v>76</v>
      </c>
      <c r="Q51" s="78">
        <f t="shared" si="12"/>
        <v>3.2020564518061039</v>
      </c>
      <c r="R51" s="79">
        <f t="shared" si="17"/>
        <v>96.061693554183123</v>
      </c>
      <c r="S51" s="79">
        <f t="shared" si="13"/>
        <v>38.424677421673252</v>
      </c>
      <c r="T51" s="79">
        <f t="shared" si="14"/>
        <v>57.637016132509871</v>
      </c>
      <c r="U51" s="79">
        <f t="shared" si="15"/>
        <v>59.341522019409489</v>
      </c>
      <c r="V51" s="65">
        <f t="shared" si="6"/>
        <v>8.6076786338873737E-2</v>
      </c>
      <c r="W51" s="66">
        <f t="shared" si="7"/>
        <v>619.75286163989085</v>
      </c>
      <c r="X51" s="65">
        <f t="shared" si="8"/>
        <v>8.085106382978724E-2</v>
      </c>
      <c r="Y51" s="66">
        <f t="shared" si="9"/>
        <v>1358.2978723404256</v>
      </c>
      <c r="Z51" s="66">
        <f t="shared" si="16"/>
        <v>1978.0507339803164</v>
      </c>
      <c r="AA51" s="80">
        <f>Z51/$N$36</f>
        <v>8.2418780582513188E-2</v>
      </c>
      <c r="AB51" s="66">
        <f t="shared" si="10"/>
        <v>26.026983341846268</v>
      </c>
    </row>
    <row r="52" spans="2:28" x14ac:dyDescent="0.55000000000000004">
      <c r="M52" s="7" t="s">
        <v>93</v>
      </c>
      <c r="N52" s="8">
        <v>15679</v>
      </c>
      <c r="O52" s="77">
        <f t="shared" si="11"/>
        <v>15024.747375532441</v>
      </c>
      <c r="P52" s="8">
        <v>76</v>
      </c>
      <c r="Q52" s="78">
        <f t="shared" si="12"/>
        <v>2.7946030118490337</v>
      </c>
      <c r="R52" s="79">
        <f t="shared" si="17"/>
        <v>83.83809035547101</v>
      </c>
      <c r="S52" s="79">
        <f t="shared" si="13"/>
        <v>33.535236142188403</v>
      </c>
      <c r="T52" s="79">
        <f t="shared" si="14"/>
        <v>50.302854213282608</v>
      </c>
      <c r="U52" s="79">
        <f t="shared" si="15"/>
        <v>56.9756633357878</v>
      </c>
      <c r="V52" s="65">
        <f t="shared" si="6"/>
        <v>7.5123736877662203E-2</v>
      </c>
      <c r="W52" s="66">
        <f t="shared" si="7"/>
        <v>540.89090551916786</v>
      </c>
      <c r="X52" s="65">
        <f t="shared" si="8"/>
        <v>8.085106382978724E-2</v>
      </c>
      <c r="Y52" s="66">
        <f t="shared" si="9"/>
        <v>1358.2978723404256</v>
      </c>
      <c r="Z52" s="66">
        <f t="shared" si="16"/>
        <v>1899.1887778595933</v>
      </c>
      <c r="AA52" s="80">
        <f>Z52/$N$36</f>
        <v>7.9132865744149725E-2</v>
      </c>
      <c r="AB52" s="66">
        <f t="shared" si="10"/>
        <v>24.989326024468333</v>
      </c>
    </row>
    <row r="53" spans="2:28" x14ac:dyDescent="0.55000000000000004">
      <c r="M53" s="7" t="s">
        <v>94</v>
      </c>
      <c r="N53" s="8">
        <v>1234</v>
      </c>
      <c r="O53" s="77">
        <f t="shared" si="11"/>
        <v>1182.5077021115526</v>
      </c>
      <c r="P53" s="8">
        <v>68</v>
      </c>
      <c r="Q53" s="78">
        <f t="shared" si="12"/>
        <v>0.21994643259274876</v>
      </c>
      <c r="R53" s="79">
        <f t="shared" si="17"/>
        <v>6.5983929777824626</v>
      </c>
      <c r="S53" s="79">
        <f t="shared" si="13"/>
        <v>2.6393571911129854</v>
      </c>
      <c r="T53" s="79">
        <f t="shared" si="14"/>
        <v>3.9590357866694772</v>
      </c>
      <c r="U53" s="79">
        <f t="shared" si="15"/>
        <v>37.736682786365577</v>
      </c>
      <c r="V53" s="65">
        <f t="shared" si="6"/>
        <v>5.912538510557762E-3</v>
      </c>
      <c r="W53" s="66">
        <f t="shared" si="7"/>
        <v>42.570277276015887</v>
      </c>
      <c r="X53" s="65">
        <f t="shared" si="8"/>
        <v>7.2340425531914887E-2</v>
      </c>
      <c r="Y53" s="66">
        <f t="shared" si="9"/>
        <v>1215.31914893617</v>
      </c>
      <c r="Z53" s="66">
        <f t="shared" si="16"/>
        <v>1257.889426212186</v>
      </c>
      <c r="AA53" s="80">
        <f>Z53/$N$36</f>
        <v>5.2412059425507751E-2</v>
      </c>
      <c r="AB53" s="66">
        <f t="shared" si="10"/>
        <v>18.498373914885089</v>
      </c>
    </row>
    <row r="54" spans="2:28" x14ac:dyDescent="0.55000000000000004">
      <c r="M54" s="7" t="s">
        <v>95</v>
      </c>
      <c r="N54" s="8">
        <v>13549</v>
      </c>
      <c r="O54" s="77">
        <f t="shared" si="11"/>
        <v>12983.627922130814</v>
      </c>
      <c r="P54" s="8">
        <v>68</v>
      </c>
      <c r="Q54" s="78">
        <f t="shared" si="12"/>
        <v>2.4149547935163316</v>
      </c>
      <c r="R54" s="79">
        <f t="shared" si="17"/>
        <v>72.448643805489951</v>
      </c>
      <c r="S54" s="79">
        <f t="shared" si="13"/>
        <v>28.979457522195982</v>
      </c>
      <c r="T54" s="79">
        <f t="shared" si="14"/>
        <v>43.469186283293972</v>
      </c>
      <c r="U54" s="79">
        <f t="shared" si="15"/>
        <v>50.481892623986383</v>
      </c>
      <c r="V54" s="65">
        <f t="shared" si="6"/>
        <v>6.4918139610654069E-2</v>
      </c>
      <c r="W54" s="66">
        <f t="shared" si="7"/>
        <v>467.4106051967093</v>
      </c>
      <c r="X54" s="65">
        <f t="shared" si="8"/>
        <v>7.2340425531914887E-2</v>
      </c>
      <c r="Y54" s="66">
        <f t="shared" si="9"/>
        <v>1215.31914893617</v>
      </c>
      <c r="Z54" s="66">
        <f t="shared" si="16"/>
        <v>1682.7297541328794</v>
      </c>
      <c r="AA54" s="80">
        <f>Z54/$N$36</f>
        <v>7.0113739755536642E-2</v>
      </c>
      <c r="AB54" s="66">
        <f t="shared" si="10"/>
        <v>24.746025796071756</v>
      </c>
    </row>
    <row r="55" spans="2:28" x14ac:dyDescent="0.55000000000000004">
      <c r="M55" s="7" t="s">
        <v>96</v>
      </c>
      <c r="N55" s="8">
        <v>17464</v>
      </c>
      <c r="O55" s="77">
        <f t="shared" si="11"/>
        <v>16735.262973805635</v>
      </c>
      <c r="P55" s="8">
        <v>80</v>
      </c>
      <c r="Q55" s="78">
        <f t="shared" si="12"/>
        <v>3.1127589131278479</v>
      </c>
      <c r="R55" s="79">
        <f t="shared" si="17"/>
        <v>93.382767393835437</v>
      </c>
      <c r="S55" s="79">
        <f t="shared" si="13"/>
        <v>37.353106957534173</v>
      </c>
      <c r="T55" s="79">
        <f t="shared" si="14"/>
        <v>56.029660436301263</v>
      </c>
      <c r="U55" s="79">
        <f t="shared" si="15"/>
        <v>60.967701032986675</v>
      </c>
      <c r="V55" s="65">
        <f t="shared" si="6"/>
        <v>8.3676314869028171E-2</v>
      </c>
      <c r="W55" s="66">
        <f t="shared" si="7"/>
        <v>602.46946705700282</v>
      </c>
      <c r="X55" s="65">
        <f t="shared" si="8"/>
        <v>8.5106382978723402E-2</v>
      </c>
      <c r="Y55" s="66">
        <f t="shared" si="9"/>
        <v>1429.7872340425531</v>
      </c>
      <c r="Z55" s="66">
        <f t="shared" si="16"/>
        <v>2032.2567010995558</v>
      </c>
      <c r="AA55" s="80">
        <f>Z55/$N$36</f>
        <v>8.467736254581483E-2</v>
      </c>
      <c r="AB55" s="66">
        <f t="shared" si="10"/>
        <v>25.403208763744448</v>
      </c>
    </row>
    <row r="56" spans="2:28" x14ac:dyDescent="0.55000000000000004">
      <c r="M56" s="7" t="s">
        <v>97</v>
      </c>
      <c r="N56" s="8">
        <v>22000</v>
      </c>
      <c r="O56" s="77">
        <f t="shared" si="11"/>
        <v>21081.984964711632</v>
      </c>
      <c r="P56" s="8">
        <v>80</v>
      </c>
      <c r="Q56" s="78">
        <f t="shared" si="12"/>
        <v>3.9212492034363637</v>
      </c>
      <c r="R56" s="79">
        <f t="shared" si="17"/>
        <v>117.63747610309092</v>
      </c>
      <c r="S56" s="79">
        <f t="shared" si="13"/>
        <v>47.05499044123637</v>
      </c>
      <c r="T56" s="79">
        <f t="shared" si="14"/>
        <v>70.582485661854548</v>
      </c>
      <c r="U56" s="79">
        <f t="shared" si="15"/>
        <v>65.662160783165149</v>
      </c>
      <c r="V56" s="65">
        <f t="shared" si="6"/>
        <v>0.10540992482355815</v>
      </c>
      <c r="W56" s="66">
        <f t="shared" si="7"/>
        <v>758.95145872961871</v>
      </c>
      <c r="X56" s="65">
        <f t="shared" si="8"/>
        <v>8.5106382978723402E-2</v>
      </c>
      <c r="Y56" s="66">
        <f t="shared" si="9"/>
        <v>1429.7872340425531</v>
      </c>
      <c r="Z56" s="66">
        <f t="shared" si="16"/>
        <v>2188.7386927721718</v>
      </c>
      <c r="AA56" s="80">
        <f>Z56/$N$36</f>
        <v>9.1197445532173821E-2</v>
      </c>
      <c r="AB56" s="66">
        <f t="shared" si="10"/>
        <v>27.359233659652148</v>
      </c>
    </row>
    <row r="57" spans="2:28" x14ac:dyDescent="0.55000000000000004">
      <c r="M57" s="7" t="s">
        <v>98</v>
      </c>
      <c r="N57" s="8">
        <v>17464</v>
      </c>
      <c r="O57" s="77">
        <f t="shared" si="11"/>
        <v>16735.262973805635</v>
      </c>
      <c r="P57" s="8">
        <v>8</v>
      </c>
      <c r="Q57" s="78">
        <f t="shared" si="12"/>
        <v>3.1127589131278479</v>
      </c>
      <c r="R57" s="79">
        <f t="shared" si="17"/>
        <v>93.382767393835437</v>
      </c>
      <c r="S57" s="79">
        <f t="shared" si="13"/>
        <v>37.353106957534173</v>
      </c>
      <c r="T57" s="79">
        <f t="shared" si="14"/>
        <v>56.029660436301263</v>
      </c>
      <c r="U57" s="79">
        <f t="shared" si="15"/>
        <v>22.363445713837745</v>
      </c>
      <c r="V57" s="65">
        <f t="shared" si="6"/>
        <v>8.3676314869028171E-2</v>
      </c>
      <c r="W57" s="66">
        <f t="shared" si="7"/>
        <v>602.46946705700282</v>
      </c>
      <c r="X57" s="65">
        <f t="shared" si="8"/>
        <v>8.5106382978723406E-3</v>
      </c>
      <c r="Y57" s="66">
        <f t="shared" si="9"/>
        <v>142.97872340425533</v>
      </c>
      <c r="Z57" s="66">
        <f t="shared" si="16"/>
        <v>745.44819046125815</v>
      </c>
      <c r="AA57" s="80">
        <f>Z57/$N$36</f>
        <v>3.106034126921909E-2</v>
      </c>
      <c r="AB57" s="66">
        <f t="shared" si="10"/>
        <v>93.181023807657269</v>
      </c>
    </row>
    <row r="58" spans="2:28" x14ac:dyDescent="0.55000000000000004">
      <c r="M58" s="7" t="s">
        <v>99</v>
      </c>
      <c r="N58" s="8">
        <v>12365</v>
      </c>
      <c r="O58" s="77">
        <f t="shared" si="11"/>
        <v>11849.033822211788</v>
      </c>
      <c r="P58" s="8">
        <v>68</v>
      </c>
      <c r="Q58" s="78">
        <f t="shared" si="12"/>
        <v>2.2039202909313924</v>
      </c>
      <c r="R58" s="79">
        <f t="shared" si="17"/>
        <v>66.117608727941771</v>
      </c>
      <c r="S58" s="79">
        <f t="shared" si="13"/>
        <v>26.447043491176711</v>
      </c>
      <c r="T58" s="79">
        <f t="shared" si="14"/>
        <v>39.670565236765064</v>
      </c>
      <c r="U58" s="79">
        <f t="shared" si="15"/>
        <v>49.256530996073835</v>
      </c>
      <c r="V58" s="65">
        <f t="shared" si="6"/>
        <v>5.924516911105894E-2</v>
      </c>
      <c r="W58" s="66">
        <f t="shared" si="7"/>
        <v>426.56521759962436</v>
      </c>
      <c r="X58" s="65">
        <f t="shared" si="8"/>
        <v>7.2340425531914887E-2</v>
      </c>
      <c r="Y58" s="66">
        <f t="shared" si="9"/>
        <v>1215.31914893617</v>
      </c>
      <c r="Z58" s="66">
        <f t="shared" si="16"/>
        <v>1641.8843665357945</v>
      </c>
      <c r="AA58" s="80">
        <f>Z58/$N$36</f>
        <v>6.8411848605658104E-2</v>
      </c>
      <c r="AB58" s="66">
        <f t="shared" si="10"/>
        <v>24.145358331408744</v>
      </c>
    </row>
    <row r="59" spans="2:28" x14ac:dyDescent="0.55000000000000004">
      <c r="M59" s="7" t="s">
        <v>100</v>
      </c>
      <c r="N59" s="8">
        <v>15564</v>
      </c>
      <c r="O59" s="77">
        <f t="shared" si="11"/>
        <v>14914.54609048963</v>
      </c>
      <c r="P59" s="8">
        <v>68</v>
      </c>
      <c r="Q59" s="78">
        <f t="shared" si="12"/>
        <v>2.7741055728310711</v>
      </c>
      <c r="R59" s="79">
        <f t="shared" si="17"/>
        <v>83.223167184932137</v>
      </c>
      <c r="S59" s="79">
        <f t="shared" si="13"/>
        <v>33.289266873972856</v>
      </c>
      <c r="T59" s="79">
        <f t="shared" si="14"/>
        <v>49.933900310959281</v>
      </c>
      <c r="U59" s="79">
        <f t="shared" si="15"/>
        <v>52.567284245813902</v>
      </c>
      <c r="V59" s="65">
        <f t="shared" si="6"/>
        <v>7.4572730452448152E-2</v>
      </c>
      <c r="W59" s="66">
        <f t="shared" si="7"/>
        <v>536.9236592576267</v>
      </c>
      <c r="X59" s="65">
        <f t="shared" si="8"/>
        <v>7.2340425531914887E-2</v>
      </c>
      <c r="Y59" s="66">
        <f t="shared" si="9"/>
        <v>1215.31914893617</v>
      </c>
      <c r="Z59" s="66">
        <f t="shared" si="16"/>
        <v>1752.2428081937967</v>
      </c>
      <c r="AA59" s="80">
        <f>Z59/$N$36</f>
        <v>7.301011700807486E-2</v>
      </c>
      <c r="AB59" s="66">
        <f t="shared" si="10"/>
        <v>25.768276591085247</v>
      </c>
    </row>
    <row r="60" spans="2:28" x14ac:dyDescent="0.55000000000000004">
      <c r="M60" s="56" t="s">
        <v>101</v>
      </c>
      <c r="N60" s="81">
        <v>13547</v>
      </c>
      <c r="O60" s="77">
        <f t="shared" si="11"/>
        <v>12981.711378043114</v>
      </c>
      <c r="P60" s="81">
        <v>68</v>
      </c>
      <c r="Q60" s="78">
        <f t="shared" si="12"/>
        <v>2.4145983163160194</v>
      </c>
      <c r="R60" s="79">
        <f t="shared" si="17"/>
        <v>72.437949489480587</v>
      </c>
      <c r="S60" s="79">
        <f t="shared" si="13"/>
        <v>28.975179795792236</v>
      </c>
      <c r="T60" s="79">
        <f t="shared" si="14"/>
        <v>43.462769693688351</v>
      </c>
      <c r="U60" s="79">
        <f t="shared" si="15"/>
        <v>50.479822756371661</v>
      </c>
      <c r="V60" s="82">
        <f t="shared" si="6"/>
        <v>6.490855689021556E-2</v>
      </c>
      <c r="W60" s="83">
        <f t="shared" si="7"/>
        <v>467.34160960955205</v>
      </c>
      <c r="X60" s="82">
        <f t="shared" si="8"/>
        <v>7.2340425531914887E-2</v>
      </c>
      <c r="Y60" s="83">
        <f t="shared" si="9"/>
        <v>1215.31914893617</v>
      </c>
      <c r="Z60" s="83">
        <f t="shared" si="16"/>
        <v>1682.660758545722</v>
      </c>
      <c r="AA60" s="84">
        <f>Z60/$N$36</f>
        <v>7.011086493940509E-2</v>
      </c>
      <c r="AB60" s="83">
        <f t="shared" si="10"/>
        <v>24.745011155084146</v>
      </c>
    </row>
    <row r="61" spans="2:28" x14ac:dyDescent="0.55000000000000004">
      <c r="B61" s="1" t="s">
        <v>102</v>
      </c>
      <c r="Q61" s="4">
        <f t="shared" si="12"/>
        <v>0</v>
      </c>
      <c r="R61" s="39">
        <f t="shared" si="17"/>
        <v>0</v>
      </c>
      <c r="S61" s="28">
        <f>R61*$S$42</f>
        <v>0</v>
      </c>
      <c r="T61" s="28">
        <f t="shared" si="14"/>
        <v>0</v>
      </c>
      <c r="U61" s="39" t="e">
        <f>Z61*$U$42</f>
        <v>#VALUE!</v>
      </c>
      <c r="W61" s="4"/>
      <c r="X61" s="4"/>
      <c r="Y61" s="4"/>
      <c r="Z61" s="4" t="s">
        <v>103</v>
      </c>
      <c r="AA61" s="4"/>
      <c r="AB61" s="85">
        <f>AVERAGE(AB47:AB60)</f>
        <v>29.784329754238168</v>
      </c>
    </row>
    <row r="62" spans="2:28" x14ac:dyDescent="0.55000000000000004">
      <c r="Q62" s="4">
        <f t="shared" si="12"/>
        <v>0</v>
      </c>
      <c r="R62" s="39">
        <f t="shared" si="17"/>
        <v>0</v>
      </c>
      <c r="S62" s="28">
        <f t="shared" si="13"/>
        <v>0</v>
      </c>
      <c r="T62" s="28">
        <f t="shared" si="14"/>
        <v>0</v>
      </c>
      <c r="U62" s="39" t="e">
        <f t="shared" si="15"/>
        <v>#VALUE!</v>
      </c>
      <c r="W62" s="4"/>
      <c r="X62" s="4"/>
      <c r="Y62" s="4"/>
      <c r="Z62" s="4" t="s">
        <v>104</v>
      </c>
      <c r="AA62" s="4"/>
      <c r="AB62" s="39">
        <f>MIN(AB47:AB60)</f>
        <v>18.498373914885089</v>
      </c>
    </row>
    <row r="63" spans="2:28" x14ac:dyDescent="0.55000000000000004">
      <c r="W63" s="4"/>
      <c r="X63" s="4"/>
      <c r="Y63" s="4"/>
      <c r="Z63" s="4" t="s">
        <v>105</v>
      </c>
      <c r="AA63" s="4"/>
      <c r="AB63" s="85">
        <f>MAX(AB47:AB60)</f>
        <v>93.181023807657269</v>
      </c>
    </row>
  </sheetData>
  <mergeCells count="11">
    <mergeCell ref="M27:P27"/>
    <mergeCell ref="AA12:AF13"/>
    <mergeCell ref="AA14:AF15"/>
    <mergeCell ref="AA16:AF17"/>
    <mergeCell ref="Q41:R41"/>
    <mergeCell ref="R1:S3"/>
    <mergeCell ref="AB22:AB24"/>
    <mergeCell ref="AC22:AC24"/>
    <mergeCell ref="Q26:R26"/>
    <mergeCell ref="S26:T26"/>
    <mergeCell ref="U26:W26"/>
  </mergeCells>
  <conditionalFormatting sqref="V47:V6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7:X6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47:AA6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47:AB6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25:AC34">
    <cfRule type="expression" dxfId="0" priority="1">
      <formula>(AH25=1)</formula>
    </cfRule>
  </conditionalFormatting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88FC8-8021-4627-A42E-3074F3B383A3}">
  <dimension ref="A1:D12"/>
  <sheetViews>
    <sheetView tabSelected="1" topLeftCell="A11" workbookViewId="0">
      <selection activeCell="A12" sqref="A12"/>
    </sheetView>
  </sheetViews>
  <sheetFormatPr baseColWidth="10" defaultRowHeight="14.4" x14ac:dyDescent="0.55000000000000004"/>
  <cols>
    <col min="1" max="1" width="17.578125" style="120" customWidth="1"/>
    <col min="2" max="3" width="35.734375" customWidth="1"/>
    <col min="4" max="4" width="39" style="120" customWidth="1"/>
  </cols>
  <sheetData>
    <row r="1" spans="1:4" ht="25.8" x14ac:dyDescent="0.95">
      <c r="A1" s="124" t="s">
        <v>132</v>
      </c>
    </row>
    <row r="2" spans="1:4" ht="137.4" customHeight="1" x14ac:dyDescent="0.55000000000000004">
      <c r="A2" s="120" t="s">
        <v>141</v>
      </c>
      <c r="B2" s="121"/>
      <c r="C2" s="121"/>
      <c r="D2" s="122" t="s">
        <v>131</v>
      </c>
    </row>
    <row r="3" spans="1:4" ht="137.4" customHeight="1" x14ac:dyDescent="0.55000000000000004">
      <c r="A3" s="120" t="s">
        <v>140</v>
      </c>
      <c r="B3" s="121"/>
      <c r="C3" s="121"/>
      <c r="D3" s="123" t="s">
        <v>133</v>
      </c>
    </row>
    <row r="4" spans="1:4" ht="137.4" customHeight="1" x14ac:dyDescent="0.55000000000000004">
      <c r="A4" s="120" t="s">
        <v>139</v>
      </c>
      <c r="B4" s="121"/>
      <c r="C4" s="121"/>
      <c r="D4" s="123" t="s">
        <v>134</v>
      </c>
    </row>
    <row r="5" spans="1:4" ht="137.4" customHeight="1" x14ac:dyDescent="0.55000000000000004">
      <c r="A5" s="120" t="s">
        <v>138</v>
      </c>
      <c r="C5" s="121"/>
      <c r="D5" s="123" t="s">
        <v>135</v>
      </c>
    </row>
    <row r="6" spans="1:4" ht="137.4" customHeight="1" x14ac:dyDescent="0.55000000000000004">
      <c r="A6" s="120" t="s">
        <v>137</v>
      </c>
      <c r="B6" s="121"/>
      <c r="C6" s="121"/>
      <c r="D6" s="123" t="s">
        <v>136</v>
      </c>
    </row>
    <row r="7" spans="1:4" ht="137.4" customHeight="1" x14ac:dyDescent="0.55000000000000004">
      <c r="A7" s="120" t="s">
        <v>142</v>
      </c>
      <c r="D7" s="120" t="s">
        <v>143</v>
      </c>
    </row>
    <row r="8" spans="1:4" ht="137.4" customHeight="1" x14ac:dyDescent="0.55000000000000004">
      <c r="A8" s="120" t="s">
        <v>144</v>
      </c>
      <c r="D8" s="120" t="s">
        <v>145</v>
      </c>
    </row>
    <row r="9" spans="1:4" ht="137.4" customHeight="1" x14ac:dyDescent="0.55000000000000004">
      <c r="A9" s="120" t="s">
        <v>147</v>
      </c>
      <c r="D9" s="120" t="s">
        <v>146</v>
      </c>
    </row>
    <row r="10" spans="1:4" ht="137.4" customHeight="1" x14ac:dyDescent="0.55000000000000004">
      <c r="A10" s="120" t="s">
        <v>148</v>
      </c>
      <c r="D10" s="120" t="s">
        <v>149</v>
      </c>
    </row>
    <row r="11" spans="1:4" ht="137.4" customHeight="1" x14ac:dyDescent="0.55000000000000004">
      <c r="A11" s="120" t="s">
        <v>151</v>
      </c>
      <c r="D11" s="120" t="s">
        <v>150</v>
      </c>
    </row>
    <row r="12" spans="1:4" ht="137.4" customHeight="1" x14ac:dyDescent="0.55000000000000004"/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HeizKV  CO2KostAG</vt:lpstr>
      <vt:lpstr>Links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Peters</dc:creator>
  <cp:lastModifiedBy>JP Peters</cp:lastModifiedBy>
  <dcterms:created xsi:type="dcterms:W3CDTF">2023-09-21T06:42:08Z</dcterms:created>
  <dcterms:modified xsi:type="dcterms:W3CDTF">2023-09-25T06:11:54Z</dcterms:modified>
</cp:coreProperties>
</file>