
<file path=[Content_Types].xml><?xml version="1.0" encoding="utf-8"?>
<Types xmlns="http://schemas.openxmlformats.org/package/2006/content-types">
  <Default Extension="bin" ContentType="application/vnd.openxmlformats-officedocument.spreadsheetml.printerSettings"/>
  <Default Extension="emf" ContentType="image/x-emf"/>
  <Default Extension="glb" ContentType="model/gltf.binary"/>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ingbu\Downloads\"/>
    </mc:Choice>
  </mc:AlternateContent>
  <xr:revisionPtr revIDLastSave="0" documentId="13_ncr:1_{7CE8FEA7-CC2C-46DA-8402-AAF8443FDFD4}" xr6:coauthVersionLast="47" xr6:coauthVersionMax="47" xr10:uidLastSave="{00000000-0000-0000-0000-000000000000}"/>
  <bookViews>
    <workbookView xWindow="57480" yWindow="-120" windowWidth="25440" windowHeight="15270" xr2:uid="{BA20B4FF-527A-42BC-9D75-357ECF2A23CD}"/>
  </bookViews>
  <sheets>
    <sheet name="übersicht" sheetId="2" r:id="rId1"/>
  </sheets>
  <externalReferences>
    <externalReference r:id="rId2"/>
    <externalReference r:id="rId3"/>
    <externalReference r:id="rId4"/>
    <externalReference r:id="rId5"/>
    <externalReference r:id="rId6"/>
  </externalReferences>
  <definedNames>
    <definedName name="Country">[3]diverse!$F$4:$F$32</definedName>
    <definedName name="em_1" localSheetId="0">OFFSET(#REF!,0,0,1,COUNTA(#REF!))</definedName>
    <definedName name="em_1">OFFSET(#REF!,0,0,1,COUNTA(#REF!))</definedName>
    <definedName name="em_2" localSheetId="0">OFFSET(#REF!,0,0,1,COUNTA(#REF!))</definedName>
    <definedName name="em_2">OFFSET(#REF!,0,0,1,COUNTA(#REF!))</definedName>
    <definedName name="em_3" localSheetId="0">OFFSET(#REF!,0,0,1,COUNTA(#REF!))</definedName>
    <definedName name="em_3">OFFSET(#REF!,0,0,1,COUNTA(#REF!))</definedName>
    <definedName name="em_4" localSheetId="0">OFFSET(#REF!,0,0,1,COUNTA(#REF!))</definedName>
    <definedName name="em_4">OFFSET(#REF!,0,0,1,COUNTA(#REF!))</definedName>
    <definedName name="em_5" localSheetId="0">OFFSET(#REF!,0,0,1,COUNTA(#REF!))</definedName>
    <definedName name="em_5">OFFSET(#REF!,0,0,1,COUNTA(#REF!))</definedName>
    <definedName name="em_6" localSheetId="0">OFFSET(#REF!,0,0,1,COUNTA(#REF!))</definedName>
    <definedName name="em_6">OFFSET(#REF!,0,0,1,COUNTA(#REF!))</definedName>
    <definedName name="emission_factor" localSheetId="0">#REF!</definedName>
    <definedName name="emission_factor">#REF!</definedName>
    <definedName name="energy_type" localSheetId="0">#REF!</definedName>
    <definedName name="energy_type">#REF!</definedName>
    <definedName name="energy_unit" localSheetId="0">#REF!</definedName>
    <definedName name="energy_unit">#REF!</definedName>
    <definedName name="HTML_CodePage" hidden="1">1252</definedName>
    <definedName name="HTML_Control" localSheetId="0" hidden="1">{"'Verkehr-Personen'!$A$5:$J$26"}</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Indicator_Type_AssignStationToPostcode">[4]UserForm!$AI$12</definedName>
    <definedName name="Indicator_Type_LocationBuilding">[4]UserForm!$AI$10</definedName>
    <definedName name="Klimadaten_aktuell">'[5]Standardwerte Klima'!$N$1:$O$26</definedName>
    <definedName name="lcc_1" localSheetId="0">OFFSET(#REF!,0,0,1,COUNTA(#REF!))</definedName>
    <definedName name="lcc_1">OFFSET(#REF!,0,0,1,COUNTA(#REF!))</definedName>
    <definedName name="lcc_annual_aquisition" localSheetId="0">OFFSET(#REF!,0,0,1,COUNTA(#REF!))</definedName>
    <definedName name="lcc_annual_aquisition">OFFSET(#REF!,0,0,1,COUNTA(#REF!))</definedName>
    <definedName name="lcc_annual_maintenance" localSheetId="0">OFFSET(#REF!,0,0,1,COUNTA(#REF!))</definedName>
    <definedName name="lcc_annual_maintenance">OFFSET(#REF!,0,0,1,COUNTA(#REF!))</definedName>
    <definedName name="lcc_annual_operation" localSheetId="0">OFFSET(#REF!,0,0,1,COUNTA(#REF!))</definedName>
    <definedName name="lcc_annual_operation">OFFSET(#REF!,0,0,1,COUNTA(#REF!))</definedName>
    <definedName name="lcc_annual_othercosts" localSheetId="0">OFFSET(#REF!,0,0,1,COUNTA(#REF!))</definedName>
    <definedName name="lcc_annual_othercosts">OFFSET(#REF!,0,0,1,COUNTA(#REF!))</definedName>
    <definedName name="lcc_annual_remnant" localSheetId="0">OFFSET(#REF!,0,0,1,COUNTA(#REF!))</definedName>
    <definedName name="lcc_annual_remnant">OFFSET(#REF!,0,0,1,COUNTA(#REF!))</definedName>
    <definedName name="lcc_usage_aquisition" localSheetId="0">OFFSET(#REF!,0,0,1,COUNTA(#REF!))</definedName>
    <definedName name="lcc_usage_aquisition">OFFSET(#REF!,0,0,1,COUNTA(#REF!))</definedName>
    <definedName name="lcc_usage_maintenance" localSheetId="0">OFFSET(#REF!,0,0,1,COUNTA(#REF!))</definedName>
    <definedName name="lcc_usage_maintenance">OFFSET(#REF!,0,0,1,COUNTA(#REF!))</definedName>
    <definedName name="lcc_usage_operation" localSheetId="0">OFFSET(#REF!,0,0,1,COUNTA(#REF!))</definedName>
    <definedName name="lcc_usage_operation">OFFSET(#REF!,0,0,1,COUNTA(#REF!))</definedName>
    <definedName name="lcc_usage_othercosts" localSheetId="0">OFFSET(#REF!,0,0,1,COUNTA(#REF!))</definedName>
    <definedName name="lcc_usage_othercosts">OFFSET(#REF!,0,0,1,COUNTA(#REF!))</definedName>
    <definedName name="lcc_usage_remnant" localSheetId="0">OFFSET(#REF!,0,0,1,COUNTA(#REF!))</definedName>
    <definedName name="lcc_usage_remnant">OFFSET(#REF!,0,0,1,COUNTA(#REF!))</definedName>
    <definedName name="motorraf" localSheetId="0" hidden="1">{"'Verkehr-Personen'!$A$5:$J$26"}</definedName>
    <definedName name="motorraf" hidden="1">{"'Verkehr-Personen'!$A$5:$J$26"}</definedName>
    <definedName name="offer_id" localSheetId="0">OFFSET(#REF!,0,0,1,COUNTA(#REF!))</definedName>
    <definedName name="offer_id">OFFSET(#REF!,0,0,1,COUNTA(#REF!))</definedName>
    <definedName name="Print_Area" localSheetId="0">übersicht!$P$114:$AQ$161,übersicht!$C$117:$P$161</definedName>
    <definedName name="Products">[3]diverse!$J$5:$J$20</definedName>
    <definedName name="t" localSheetId="0" hidden="1">{"'Verkehr-Personen'!$A$5:$J$26"}</definedName>
    <definedName name="t" hidden="1">{"'Verkehr-Personen'!$A$5:$J$26"}</definedName>
    <definedName name="TextField_Temperature_HDD_Base" localSheetId="0">#REF!</definedName>
    <definedName name="Timerange">[3]diverse!$M$4:$M$29</definedName>
    <definedName name="Verkehr2" localSheetId="0" hidden="1">{"'Verkehr-Personen'!$A$5:$J$26"}</definedName>
    <definedName name="Verkehr2" hidden="1">{"'Verkehr-Personen'!$A$5:$J$26"}</definedName>
    <definedName name="VerkehrPkwKlassen" localSheetId="0" hidden="1">{"'Verkehr-Personen'!$A$5:$J$26"}</definedName>
    <definedName name="VerkehrPkwKlassen" hidden="1">{"'Verkehr-Personen'!$A$5:$J$26"}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N206" i="2" l="1"/>
  <c r="BM206" i="2"/>
  <c r="BL206" i="2"/>
  <c r="BH206" i="2"/>
  <c r="BG206" i="2"/>
  <c r="BF206" i="2"/>
  <c r="BE206" i="2"/>
  <c r="BD206" i="2"/>
  <c r="BB206" i="2"/>
  <c r="BV206" i="2" s="1"/>
  <c r="BV205" i="2"/>
  <c r="BU205" i="2"/>
  <c r="BT205" i="2"/>
  <c r="BS205" i="2"/>
  <c r="BR205" i="2"/>
  <c r="BQ205" i="2"/>
  <c r="BP205" i="2"/>
  <c r="BO205" i="2"/>
  <c r="BN205" i="2"/>
  <c r="BM205" i="2"/>
  <c r="BL205" i="2"/>
  <c r="BK205" i="2"/>
  <c r="BJ205" i="2"/>
  <c r="BI205" i="2"/>
  <c r="BH205" i="2"/>
  <c r="BG205" i="2"/>
  <c r="BF205" i="2"/>
  <c r="BE205" i="2"/>
  <c r="BD205" i="2"/>
  <c r="BC205" i="2"/>
  <c r="BU204" i="2"/>
  <c r="BV204" i="2" s="1"/>
  <c r="BT204" i="2"/>
  <c r="BS204" i="2"/>
  <c r="BQ204" i="2"/>
  <c r="BR204" i="2" s="1"/>
  <c r="BP204" i="2"/>
  <c r="BO204" i="2"/>
  <c r="BM204" i="2"/>
  <c r="BN204" i="2" s="1"/>
  <c r="BL204" i="2"/>
  <c r="BK204" i="2"/>
  <c r="BI204" i="2"/>
  <c r="BJ204" i="2" s="1"/>
  <c r="BH204" i="2"/>
  <c r="BG204" i="2"/>
  <c r="BE204" i="2"/>
  <c r="BF204" i="2" s="1"/>
  <c r="BD204" i="2"/>
  <c r="BC204" i="2"/>
  <c r="BU203" i="2"/>
  <c r="BV203" i="2" s="1"/>
  <c r="BT203" i="2"/>
  <c r="BS203" i="2"/>
  <c r="BQ203" i="2"/>
  <c r="BR203" i="2" s="1"/>
  <c r="BP203" i="2"/>
  <c r="BO203" i="2"/>
  <c r="BM203" i="2"/>
  <c r="BN203" i="2" s="1"/>
  <c r="BL203" i="2"/>
  <c r="BK203" i="2"/>
  <c r="BI203" i="2"/>
  <c r="BJ203" i="2" s="1"/>
  <c r="BH203" i="2"/>
  <c r="BG203" i="2"/>
  <c r="BE203" i="2"/>
  <c r="BF203" i="2" s="1"/>
  <c r="BD203" i="2"/>
  <c r="BC203" i="2"/>
  <c r="BV200" i="2"/>
  <c r="BU200" i="2"/>
  <c r="BT200" i="2"/>
  <c r="BQ200" i="2"/>
  <c r="BP200" i="2"/>
  <c r="BO200" i="2"/>
  <c r="BN200" i="2"/>
  <c r="BM200" i="2"/>
  <c r="BL200" i="2"/>
  <c r="BI200" i="2"/>
  <c r="BH200" i="2"/>
  <c r="BG200" i="2"/>
  <c r="BF200" i="2"/>
  <c r="BE200" i="2"/>
  <c r="BD200" i="2"/>
  <c r="BB200" i="2"/>
  <c r="BS200" i="2" s="1"/>
  <c r="BV199" i="2"/>
  <c r="BU199" i="2"/>
  <c r="BT199" i="2"/>
  <c r="BS199" i="2"/>
  <c r="BR199" i="2"/>
  <c r="BQ199" i="2"/>
  <c r="BP199" i="2"/>
  <c r="BO199" i="2"/>
  <c r="BN199" i="2"/>
  <c r="BM199" i="2"/>
  <c r="BL199" i="2"/>
  <c r="BK199" i="2"/>
  <c r="BJ199" i="2"/>
  <c r="BI199" i="2"/>
  <c r="BH199" i="2"/>
  <c r="BG199" i="2"/>
  <c r="BF199" i="2"/>
  <c r="BE199" i="2"/>
  <c r="BD199" i="2"/>
  <c r="BC199" i="2"/>
  <c r="BU198" i="2"/>
  <c r="BV198" i="2" s="1"/>
  <c r="BS198" i="2"/>
  <c r="BT198" i="2" s="1"/>
  <c r="BQ198" i="2"/>
  <c r="BR198" i="2" s="1"/>
  <c r="BO198" i="2"/>
  <c r="BP198" i="2" s="1"/>
  <c r="BM198" i="2"/>
  <c r="BN198" i="2" s="1"/>
  <c r="BK198" i="2"/>
  <c r="BL198" i="2" s="1"/>
  <c r="BI198" i="2"/>
  <c r="BJ198" i="2" s="1"/>
  <c r="BG198" i="2"/>
  <c r="BH198" i="2" s="1"/>
  <c r="BE198" i="2"/>
  <c r="BF198" i="2" s="1"/>
  <c r="BC198" i="2"/>
  <c r="BD198" i="2" s="1"/>
  <c r="BU197" i="2"/>
  <c r="BV197" i="2" s="1"/>
  <c r="BS197" i="2"/>
  <c r="BT197" i="2" s="1"/>
  <c r="BQ197" i="2"/>
  <c r="BR197" i="2" s="1"/>
  <c r="BO197" i="2"/>
  <c r="BP197" i="2" s="1"/>
  <c r="BM197" i="2"/>
  <c r="BN197" i="2" s="1"/>
  <c r="BK197" i="2"/>
  <c r="BL197" i="2" s="1"/>
  <c r="BI197" i="2"/>
  <c r="BJ197" i="2" s="1"/>
  <c r="BG197" i="2"/>
  <c r="BH197" i="2" s="1"/>
  <c r="BE197" i="2"/>
  <c r="BF197" i="2" s="1"/>
  <c r="BC197" i="2"/>
  <c r="BD197" i="2" s="1"/>
  <c r="BV194" i="2"/>
  <c r="BU194" i="2"/>
  <c r="BQ194" i="2"/>
  <c r="BN194" i="2"/>
  <c r="BM194" i="2"/>
  <c r="BI194" i="2"/>
  <c r="BF194" i="2"/>
  <c r="BE194" i="2"/>
  <c r="BB194" i="2"/>
  <c r="BP194" i="2" s="1"/>
  <c r="BV193" i="2"/>
  <c r="BU193" i="2"/>
  <c r="BT193" i="2"/>
  <c r="BS193" i="2"/>
  <c r="BR193" i="2"/>
  <c r="BQ193" i="2"/>
  <c r="BP193" i="2"/>
  <c r="BO193" i="2"/>
  <c r="BN193" i="2"/>
  <c r="BM193" i="2"/>
  <c r="BL193" i="2"/>
  <c r="BK193" i="2"/>
  <c r="BJ193" i="2"/>
  <c r="BI193" i="2"/>
  <c r="BH193" i="2"/>
  <c r="BG193" i="2"/>
  <c r="BF193" i="2"/>
  <c r="BE193" i="2"/>
  <c r="BD193" i="2"/>
  <c r="BC193" i="2"/>
  <c r="BV192" i="2"/>
  <c r="BU192" i="2"/>
  <c r="BS192" i="2"/>
  <c r="BT192" i="2" s="1"/>
  <c r="BR192" i="2"/>
  <c r="BQ192" i="2"/>
  <c r="BO192" i="2"/>
  <c r="BP192" i="2" s="1"/>
  <c r="BN192" i="2"/>
  <c r="BM192" i="2"/>
  <c r="BK192" i="2"/>
  <c r="BL192" i="2" s="1"/>
  <c r="BJ192" i="2"/>
  <c r="BI192" i="2"/>
  <c r="BG192" i="2"/>
  <c r="BH192" i="2" s="1"/>
  <c r="BF192" i="2"/>
  <c r="BE192" i="2"/>
  <c r="BC192" i="2"/>
  <c r="BD192" i="2" s="1"/>
  <c r="BV191" i="2"/>
  <c r="BU191" i="2"/>
  <c r="BS191" i="2"/>
  <c r="BT191" i="2" s="1"/>
  <c r="BR191" i="2"/>
  <c r="BQ191" i="2"/>
  <c r="BO191" i="2"/>
  <c r="BP191" i="2" s="1"/>
  <c r="BN191" i="2"/>
  <c r="BM191" i="2"/>
  <c r="BK191" i="2"/>
  <c r="BL191" i="2" s="1"/>
  <c r="BJ191" i="2"/>
  <c r="BI191" i="2"/>
  <c r="BH191" i="2"/>
  <c r="BG191" i="2"/>
  <c r="BF191" i="2"/>
  <c r="BE191" i="2"/>
  <c r="BC191" i="2"/>
  <c r="BD191" i="2" s="1"/>
  <c r="BB188" i="2"/>
  <c r="BQ188" i="2" s="1"/>
  <c r="BV187" i="2"/>
  <c r="BU187" i="2"/>
  <c r="BT187" i="2"/>
  <c r="BS187" i="2"/>
  <c r="BR187" i="2"/>
  <c r="BQ187" i="2"/>
  <c r="BP187" i="2"/>
  <c r="BO187" i="2"/>
  <c r="BN187" i="2"/>
  <c r="BM187" i="2"/>
  <c r="BL187" i="2"/>
  <c r="BK187" i="2"/>
  <c r="BJ187" i="2"/>
  <c r="BI187" i="2"/>
  <c r="BH187" i="2"/>
  <c r="BG187" i="2"/>
  <c r="BF187" i="2"/>
  <c r="BE187" i="2"/>
  <c r="BD187" i="2"/>
  <c r="BC187" i="2"/>
  <c r="BU186" i="2"/>
  <c r="BV186" i="2" s="1"/>
  <c r="BS186" i="2"/>
  <c r="BT186" i="2" s="1"/>
  <c r="BR186" i="2"/>
  <c r="BQ186" i="2"/>
  <c r="BO186" i="2"/>
  <c r="BP186" i="2" s="1"/>
  <c r="BM186" i="2"/>
  <c r="BN186" i="2" s="1"/>
  <c r="BK186" i="2"/>
  <c r="BL186" i="2" s="1"/>
  <c r="BJ186" i="2"/>
  <c r="BI186" i="2"/>
  <c r="BG186" i="2"/>
  <c r="BH186" i="2" s="1"/>
  <c r="BE186" i="2"/>
  <c r="BF186" i="2" s="1"/>
  <c r="BD186" i="2"/>
  <c r="BC186" i="2"/>
  <c r="BV185" i="2"/>
  <c r="BU185" i="2"/>
  <c r="BS185" i="2"/>
  <c r="BT185" i="2" s="1"/>
  <c r="BQ185" i="2"/>
  <c r="BR185" i="2" s="1"/>
  <c r="BO185" i="2"/>
  <c r="BP185" i="2" s="1"/>
  <c r="BN185" i="2"/>
  <c r="BM185" i="2"/>
  <c r="BK185" i="2"/>
  <c r="BL185" i="2" s="1"/>
  <c r="BI185" i="2"/>
  <c r="BJ185" i="2" s="1"/>
  <c r="BG185" i="2"/>
  <c r="BH185" i="2" s="1"/>
  <c r="BF185" i="2"/>
  <c r="BE185" i="2"/>
  <c r="BD185" i="2"/>
  <c r="BC185" i="2"/>
  <c r="BU182" i="2"/>
  <c r="BS182" i="2"/>
  <c r="BP182" i="2"/>
  <c r="BO182" i="2"/>
  <c r="BM182" i="2"/>
  <c r="BK182" i="2"/>
  <c r="BH182" i="2"/>
  <c r="BG182" i="2"/>
  <c r="BE182" i="2"/>
  <c r="BC182" i="2"/>
  <c r="BB182" i="2"/>
  <c r="BR182" i="2" s="1"/>
  <c r="BV181" i="2"/>
  <c r="BU181" i="2"/>
  <c r="BT181" i="2"/>
  <c r="BS181" i="2"/>
  <c r="BR181" i="2"/>
  <c r="BQ181" i="2"/>
  <c r="BP181" i="2"/>
  <c r="BO181" i="2"/>
  <c r="BN181" i="2"/>
  <c r="BM181" i="2"/>
  <c r="BL181" i="2"/>
  <c r="BK181" i="2"/>
  <c r="BJ181" i="2"/>
  <c r="BI181" i="2"/>
  <c r="BH181" i="2"/>
  <c r="BG181" i="2"/>
  <c r="BF181" i="2"/>
  <c r="BE181" i="2"/>
  <c r="BD181" i="2"/>
  <c r="BC181" i="2"/>
  <c r="BV180" i="2"/>
  <c r="BU180" i="2"/>
  <c r="BT180" i="2"/>
  <c r="BS180" i="2"/>
  <c r="BQ180" i="2"/>
  <c r="BR180" i="2" s="1"/>
  <c r="BP180" i="2"/>
  <c r="BO180" i="2"/>
  <c r="BN180" i="2"/>
  <c r="BM180" i="2"/>
  <c r="BL180" i="2"/>
  <c r="BK180" i="2"/>
  <c r="BI180" i="2"/>
  <c r="BJ180" i="2" s="1"/>
  <c r="BH180" i="2"/>
  <c r="BG180" i="2"/>
  <c r="BF180" i="2"/>
  <c r="BE180" i="2"/>
  <c r="BD180" i="2"/>
  <c r="BC180" i="2"/>
  <c r="BU179" i="2"/>
  <c r="BV179" i="2" s="1"/>
  <c r="BT179" i="2"/>
  <c r="BS179" i="2"/>
  <c r="BR179" i="2"/>
  <c r="BQ179" i="2"/>
  <c r="BP179" i="2"/>
  <c r="BO179" i="2"/>
  <c r="BM179" i="2"/>
  <c r="BN179" i="2" s="1"/>
  <c r="BL179" i="2"/>
  <c r="BK179" i="2"/>
  <c r="BJ179" i="2"/>
  <c r="BI179" i="2"/>
  <c r="BH179" i="2"/>
  <c r="BG179" i="2"/>
  <c r="BF179" i="2"/>
  <c r="BE179" i="2"/>
  <c r="BD179" i="2"/>
  <c r="BC179" i="2"/>
  <c r="AZ176" i="2"/>
  <c r="BB175" i="2"/>
  <c r="BQ175" i="2" s="1"/>
  <c r="AZ175" i="2"/>
  <c r="BB174" i="2"/>
  <c r="BO174" i="2" s="1"/>
  <c r="BP174" i="2" s="1"/>
  <c r="AZ174" i="2"/>
  <c r="BB173" i="2"/>
  <c r="BU173" i="2" s="1"/>
  <c r="BV173" i="2" s="1"/>
  <c r="AZ173" i="2"/>
  <c r="BV170" i="2"/>
  <c r="BT170" i="2"/>
  <c r="BP170" i="2"/>
  <c r="BN170" i="2"/>
  <c r="BL170" i="2"/>
  <c r="BH170" i="2"/>
  <c r="BF170" i="2"/>
  <c r="BD170" i="2"/>
  <c r="BB170" i="2"/>
  <c r="BS170" i="2" s="1"/>
  <c r="BV169" i="2"/>
  <c r="BU169" i="2"/>
  <c r="BT169" i="2"/>
  <c r="BS169" i="2"/>
  <c r="BR169" i="2"/>
  <c r="BQ169" i="2"/>
  <c r="BP169" i="2"/>
  <c r="BO169" i="2"/>
  <c r="BN169" i="2"/>
  <c r="BM169" i="2"/>
  <c r="BL169" i="2"/>
  <c r="BK169" i="2"/>
  <c r="BJ169" i="2"/>
  <c r="BI169" i="2"/>
  <c r="BH169" i="2"/>
  <c r="BG169" i="2"/>
  <c r="BF169" i="2"/>
  <c r="BE169" i="2"/>
  <c r="BD169" i="2"/>
  <c r="BC169" i="2"/>
  <c r="BU168" i="2"/>
  <c r="BV168" i="2" s="1"/>
  <c r="BS168" i="2"/>
  <c r="BT168" i="2" s="1"/>
  <c r="BQ168" i="2"/>
  <c r="BR168" i="2" s="1"/>
  <c r="BO168" i="2"/>
  <c r="BP168" i="2" s="1"/>
  <c r="BM168" i="2"/>
  <c r="BN168" i="2" s="1"/>
  <c r="BK168" i="2"/>
  <c r="BL168" i="2" s="1"/>
  <c r="BI168" i="2"/>
  <c r="BJ168" i="2" s="1"/>
  <c r="BG168" i="2"/>
  <c r="BH168" i="2" s="1"/>
  <c r="BF168" i="2"/>
  <c r="BE168" i="2"/>
  <c r="BD168" i="2"/>
  <c r="BC168" i="2"/>
  <c r="BU167" i="2"/>
  <c r="BV167" i="2" s="1"/>
  <c r="BS167" i="2"/>
  <c r="BT167" i="2" s="1"/>
  <c r="BQ167" i="2"/>
  <c r="BR167" i="2" s="1"/>
  <c r="BO167" i="2"/>
  <c r="BP167" i="2" s="1"/>
  <c r="BM167" i="2"/>
  <c r="BN167" i="2" s="1"/>
  <c r="BK167" i="2"/>
  <c r="BL167" i="2" s="1"/>
  <c r="BI167" i="2"/>
  <c r="BJ167" i="2" s="1"/>
  <c r="BG167" i="2"/>
  <c r="BH167" i="2" s="1"/>
  <c r="BF167" i="2"/>
  <c r="BE167" i="2"/>
  <c r="BD167" i="2"/>
  <c r="BC167" i="2"/>
  <c r="BD166" i="2"/>
  <c r="J166" i="2"/>
  <c r="J165" i="2"/>
  <c r="J163" i="2"/>
  <c r="G163" i="2"/>
  <c r="G164" i="2" s="1"/>
  <c r="I165" i="2" s="1"/>
  <c r="I166" i="2" s="1"/>
  <c r="AH152" i="2"/>
  <c r="AF152" i="2"/>
  <c r="AG152" i="2" s="1"/>
  <c r="AD151" i="2"/>
  <c r="X151" i="2"/>
  <c r="P151" i="2"/>
  <c r="Y151" i="2" s="1"/>
  <c r="E151" i="2"/>
  <c r="AF150" i="2"/>
  <c r="M150" i="2"/>
  <c r="AF153" i="2" s="1"/>
  <c r="K150" i="2"/>
  <c r="E150" i="2"/>
  <c r="X149" i="2"/>
  <c r="P149" i="2"/>
  <c r="Y149" i="2" s="1"/>
  <c r="M149" i="2"/>
  <c r="N149" i="2" s="1"/>
  <c r="E149" i="2"/>
  <c r="AD148" i="2"/>
  <c r="X148" i="2"/>
  <c r="P148" i="2"/>
  <c r="Y148" i="2" s="1"/>
  <c r="M148" i="2"/>
  <c r="P150" i="2" s="1"/>
  <c r="E148" i="2"/>
  <c r="AH147" i="2"/>
  <c r="AF146" i="2"/>
  <c r="AB146" i="2"/>
  <c r="P146" i="2"/>
  <c r="AG146" i="2" s="1"/>
  <c r="AH146" i="2" s="1"/>
  <c r="AJ145" i="2"/>
  <c r="AI145" i="2"/>
  <c r="AB145" i="2"/>
  <c r="P145" i="2"/>
  <c r="M145" i="2"/>
  <c r="L145" i="2"/>
  <c r="AQ144" i="2"/>
  <c r="AI144" i="2"/>
  <c r="AJ144" i="2" s="1"/>
  <c r="AG144" i="2"/>
  <c r="AH144" i="2" s="1"/>
  <c r="AF144" i="2"/>
  <c r="AD144" i="2"/>
  <c r="AB144" i="2"/>
  <c r="Z144" i="2"/>
  <c r="W144" i="2"/>
  <c r="P144" i="2"/>
  <c r="X144" i="2" s="1"/>
  <c r="M144" i="2"/>
  <c r="AL143" i="2"/>
  <c r="AI143" i="2"/>
  <c r="AJ143" i="2" s="1"/>
  <c r="AD143" i="2"/>
  <c r="AB143" i="2"/>
  <c r="Y143" i="2"/>
  <c r="W143" i="2"/>
  <c r="P143" i="2"/>
  <c r="M143" i="2"/>
  <c r="L143" i="2"/>
  <c r="K143" i="2"/>
  <c r="AQ142" i="2"/>
  <c r="AL142" i="2"/>
  <c r="AJ142" i="2"/>
  <c r="AI142" i="2"/>
  <c r="AE142" i="2"/>
  <c r="AF142" i="2" s="1"/>
  <c r="AC142" i="2"/>
  <c r="AB142" i="2"/>
  <c r="W142" i="2"/>
  <c r="P142" i="2"/>
  <c r="AG142" i="2" s="1"/>
  <c r="AH142" i="2" s="1"/>
  <c r="L142" i="2"/>
  <c r="K142" i="2"/>
  <c r="AI141" i="2"/>
  <c r="AJ141" i="2" s="1"/>
  <c r="AE141" i="2"/>
  <c r="AC141" i="2"/>
  <c r="AD141" i="2" s="1"/>
  <c r="AB141" i="2"/>
  <c r="X141" i="2"/>
  <c r="W141" i="2"/>
  <c r="AR140" i="2"/>
  <c r="AL140" i="2"/>
  <c r="AI140" i="2"/>
  <c r="AJ140" i="2" s="1"/>
  <c r="AF140" i="2"/>
  <c r="AE140" i="2"/>
  <c r="AD140" i="2"/>
  <c r="AC140" i="2"/>
  <c r="AB140" i="2"/>
  <c r="X140" i="2"/>
  <c r="W140" i="2"/>
  <c r="R140" i="2"/>
  <c r="P140" i="2"/>
  <c r="AL139" i="2"/>
  <c r="AJ139" i="2"/>
  <c r="AI139" i="2"/>
  <c r="AE139" i="2"/>
  <c r="AF139" i="2" s="1"/>
  <c r="AD139" i="2"/>
  <c r="AC139" i="2"/>
  <c r="AB139" i="2"/>
  <c r="X139" i="2"/>
  <c r="W139" i="2"/>
  <c r="P139" i="2"/>
  <c r="R139" i="2" s="1"/>
  <c r="AR138" i="2"/>
  <c r="AL138" i="2"/>
  <c r="AI138" i="2"/>
  <c r="AJ138" i="2" s="1"/>
  <c r="AE138" i="2"/>
  <c r="AF138" i="2" s="1"/>
  <c r="AC138" i="2"/>
  <c r="AG138" i="2" s="1"/>
  <c r="AH138" i="2" s="1"/>
  <c r="AB138" i="2"/>
  <c r="AA138" i="2"/>
  <c r="X138" i="2"/>
  <c r="W138" i="2"/>
  <c r="P138" i="2"/>
  <c r="Z138" i="2" s="1"/>
  <c r="AE137" i="2"/>
  <c r="AF137" i="2" s="1"/>
  <c r="AC137" i="2"/>
  <c r="AD137" i="2" s="1"/>
  <c r="AB137" i="2"/>
  <c r="AA137" i="2"/>
  <c r="Y137" i="2"/>
  <c r="W137" i="2"/>
  <c r="P137" i="2"/>
  <c r="R137" i="2" s="1"/>
  <c r="O137" i="2"/>
  <c r="K137" i="2"/>
  <c r="AE136" i="2"/>
  <c r="AF136" i="2" s="1"/>
  <c r="AC136" i="2"/>
  <c r="AD136" i="2" s="1"/>
  <c r="AB136" i="2"/>
  <c r="Y136" i="2"/>
  <c r="W136" i="2"/>
  <c r="P136" i="2"/>
  <c r="AA136" i="2" s="1"/>
  <c r="O136" i="2"/>
  <c r="AL135" i="2"/>
  <c r="AI135" i="2"/>
  <c r="AJ135" i="2" s="1"/>
  <c r="AE135" i="2"/>
  <c r="AF135" i="2" s="1"/>
  <c r="AQ135" i="2" s="1"/>
  <c r="AC135" i="2"/>
  <c r="AD135" i="2" s="1"/>
  <c r="AB135" i="2"/>
  <c r="W135" i="2"/>
  <c r="P135" i="2"/>
  <c r="X135" i="2" s="1"/>
  <c r="M135" i="2"/>
  <c r="L135" i="2"/>
  <c r="K135" i="2"/>
  <c r="AL134" i="2"/>
  <c r="AJ134" i="2"/>
  <c r="AI134" i="2"/>
  <c r="AE134" i="2"/>
  <c r="AC134" i="2"/>
  <c r="AD134" i="2" s="1"/>
  <c r="AB134" i="2"/>
  <c r="W134" i="2"/>
  <c r="P134" i="2"/>
  <c r="AR134" i="2" s="1"/>
  <c r="M134" i="2"/>
  <c r="L134" i="2"/>
  <c r="K134" i="2"/>
  <c r="AR133" i="2"/>
  <c r="AL133" i="2"/>
  <c r="AI133" i="2"/>
  <c r="AJ133" i="2" s="1"/>
  <c r="AE133" i="2"/>
  <c r="AC133" i="2"/>
  <c r="AD133" i="2" s="1"/>
  <c r="AB133" i="2"/>
  <c r="AA133" i="2"/>
  <c r="Y133" i="2"/>
  <c r="W133" i="2"/>
  <c r="P133" i="2"/>
  <c r="R133" i="2" s="1"/>
  <c r="M133" i="2"/>
  <c r="L133" i="2"/>
  <c r="K133" i="2"/>
  <c r="AR132" i="2"/>
  <c r="AL132" i="2"/>
  <c r="AI132" i="2"/>
  <c r="AJ132" i="2" s="1"/>
  <c r="AG132" i="2"/>
  <c r="AH132" i="2" s="1"/>
  <c r="AD132" i="2"/>
  <c r="AB132" i="2"/>
  <c r="AA132" i="2"/>
  <c r="Z132" i="2"/>
  <c r="X132" i="2"/>
  <c r="W132" i="2"/>
  <c r="R132" i="2"/>
  <c r="P132" i="2"/>
  <c r="AF132" i="2" s="1"/>
  <c r="AQ132" i="2" s="1"/>
  <c r="M132" i="2"/>
  <c r="L132" i="2"/>
  <c r="K132" i="2"/>
  <c r="AQ131" i="2"/>
  <c r="AL131" i="2"/>
  <c r="AJ131" i="2"/>
  <c r="AI131" i="2"/>
  <c r="AB131" i="2"/>
  <c r="AA131" i="2"/>
  <c r="Z131" i="2"/>
  <c r="W131" i="2"/>
  <c r="R131" i="2"/>
  <c r="P131" i="2"/>
  <c r="AR131" i="2" s="1"/>
  <c r="M131" i="2"/>
  <c r="L131" i="2"/>
  <c r="K131" i="2"/>
  <c r="AQ130" i="2"/>
  <c r="AL130" i="2"/>
  <c r="AI130" i="2"/>
  <c r="AJ130" i="2" s="1"/>
  <c r="AB130" i="2"/>
  <c r="AA130" i="2"/>
  <c r="Z130" i="2"/>
  <c r="W130" i="2"/>
  <c r="R130" i="2"/>
  <c r="P130" i="2"/>
  <c r="AG130" i="2" s="1"/>
  <c r="AH130" i="2" s="1"/>
  <c r="M130" i="2"/>
  <c r="L130" i="2"/>
  <c r="K130" i="2"/>
  <c r="AQ129" i="2"/>
  <c r="AL129" i="2"/>
  <c r="AI129" i="2"/>
  <c r="AJ129" i="2" s="1"/>
  <c r="AB129" i="2"/>
  <c r="AA129" i="2"/>
  <c r="Z129" i="2"/>
  <c r="X129" i="2"/>
  <c r="W129" i="2"/>
  <c r="P129" i="2"/>
  <c r="AG129" i="2" s="1"/>
  <c r="AH129" i="2" s="1"/>
  <c r="M129" i="2"/>
  <c r="L129" i="2"/>
  <c r="K129" i="2"/>
  <c r="AQ128" i="2"/>
  <c r="AL128" i="2"/>
  <c r="AI128" i="2"/>
  <c r="AJ128" i="2" s="1"/>
  <c r="AE128" i="2"/>
  <c r="AF128" i="2" s="1"/>
  <c r="AD128" i="2"/>
  <c r="AC128" i="2"/>
  <c r="AG128" i="2" s="1"/>
  <c r="AH128" i="2" s="1"/>
  <c r="AB128" i="2"/>
  <c r="AA128" i="2"/>
  <c r="Y128" i="2"/>
  <c r="W128" i="2"/>
  <c r="R128" i="2"/>
  <c r="P128" i="2"/>
  <c r="X128" i="2" s="1"/>
  <c r="M128" i="2"/>
  <c r="L128" i="2"/>
  <c r="K128" i="2"/>
  <c r="AR127" i="2"/>
  <c r="AL127" i="2"/>
  <c r="AJ127" i="2"/>
  <c r="AI127" i="2"/>
  <c r="AE127" i="2"/>
  <c r="AQ127" i="2" s="1"/>
  <c r="AC127" i="2"/>
  <c r="AD127" i="2" s="1"/>
  <c r="AB127" i="2"/>
  <c r="AA127" i="2"/>
  <c r="Y127" i="2"/>
  <c r="W127" i="2"/>
  <c r="P127" i="2"/>
  <c r="R127" i="2" s="1"/>
  <c r="M127" i="2"/>
  <c r="AR126" i="2"/>
  <c r="AL126" i="2"/>
  <c r="AI126" i="2"/>
  <c r="AJ126" i="2" s="1"/>
  <c r="AF126" i="2"/>
  <c r="AE126" i="2"/>
  <c r="AQ126" i="2" s="1"/>
  <c r="Y142" i="2" s="1"/>
  <c r="AC126" i="2"/>
  <c r="AG126" i="2" s="1"/>
  <c r="AH126" i="2" s="1"/>
  <c r="AB126" i="2"/>
  <c r="AA126" i="2"/>
  <c r="Y126" i="2"/>
  <c r="X126" i="2"/>
  <c r="W126" i="2"/>
  <c r="P126" i="2"/>
  <c r="Z126" i="2" s="1"/>
  <c r="AQ125" i="2"/>
  <c r="Y141" i="2" s="1"/>
  <c r="AL125" i="2"/>
  <c r="AI125" i="2"/>
  <c r="AJ125" i="2" s="1"/>
  <c r="AH125" i="2"/>
  <c r="AG125" i="2"/>
  <c r="AF125" i="2"/>
  <c r="AE125" i="2"/>
  <c r="AD125" i="2"/>
  <c r="AC125" i="2"/>
  <c r="AB125" i="2"/>
  <c r="AA125" i="2"/>
  <c r="Z125" i="2"/>
  <c r="Y125" i="2"/>
  <c r="X125" i="2"/>
  <c r="W125" i="2"/>
  <c r="R125" i="2"/>
  <c r="P125" i="2"/>
  <c r="AR125" i="2" s="1"/>
  <c r="M125" i="2"/>
  <c r="L125" i="2"/>
  <c r="K125" i="2"/>
  <c r="AR124" i="2"/>
  <c r="AQ124" i="2"/>
  <c r="Y140" i="2" s="1"/>
  <c r="AL124" i="2"/>
  <c r="AJ124" i="2"/>
  <c r="AI124" i="2"/>
  <c r="AG124" i="2"/>
  <c r="AH124" i="2" s="1"/>
  <c r="AF124" i="2"/>
  <c r="AE124" i="2"/>
  <c r="AD124" i="2"/>
  <c r="AC124" i="2"/>
  <c r="AB124" i="2"/>
  <c r="Z124" i="2"/>
  <c r="Y124" i="2"/>
  <c r="X124" i="2"/>
  <c r="W124" i="2"/>
  <c r="R124" i="2"/>
  <c r="P124" i="2"/>
  <c r="AQ123" i="2"/>
  <c r="Y139" i="2" s="1"/>
  <c r="AL123" i="2"/>
  <c r="AJ123" i="2"/>
  <c r="AI123" i="2"/>
  <c r="AB123" i="2"/>
  <c r="Z123" i="2"/>
  <c r="Y123" i="2"/>
  <c r="W123" i="2"/>
  <c r="P123" i="2"/>
  <c r="AA124" i="2" s="1"/>
  <c r="AT122" i="2"/>
  <c r="AQ122" i="2"/>
  <c r="AL122" i="2"/>
  <c r="AJ122" i="2"/>
  <c r="AB122" i="2"/>
  <c r="AA122" i="2"/>
  <c r="Z122" i="2"/>
  <c r="W122" i="2"/>
  <c r="P122" i="2"/>
  <c r="AD122" i="2" s="1"/>
  <c r="AT121" i="2"/>
  <c r="AR121" i="2"/>
  <c r="AJ121" i="2"/>
  <c r="BW120" i="2"/>
  <c r="BT120" i="2"/>
  <c r="E135" i="2" s="1"/>
  <c r="AT120" i="2"/>
  <c r="AR120" i="2"/>
  <c r="AQ120" i="2"/>
  <c r="AK120" i="2"/>
  <c r="BX119" i="2"/>
  <c r="BX120" i="2" s="1"/>
  <c r="BW119" i="2"/>
  <c r="BV119" i="2"/>
  <c r="BV120" i="2" s="1"/>
  <c r="BU119" i="2"/>
  <c r="BU120" i="2" s="1"/>
  <c r="BT119" i="2"/>
  <c r="AR119" i="2"/>
  <c r="AN119" i="2"/>
  <c r="AM119" i="2"/>
  <c r="AL119" i="2"/>
  <c r="AT118" i="2"/>
  <c r="AR118" i="2"/>
  <c r="AN118" i="2"/>
  <c r="AM118" i="2"/>
  <c r="Z118" i="2"/>
  <c r="X118" i="2"/>
  <c r="T118" i="2"/>
  <c r="AU117" i="2"/>
  <c r="AW118" i="2" s="1"/>
  <c r="AT117" i="2"/>
  <c r="AR117" i="2"/>
  <c r="AE145" i="2" s="1"/>
  <c r="T117" i="2"/>
  <c r="BA116" i="2"/>
  <c r="E134" i="2" s="1"/>
  <c r="AR116" i="2"/>
  <c r="T116" i="2"/>
  <c r="AR115" i="2"/>
  <c r="AN115" i="2"/>
  <c r="AL115" i="2"/>
  <c r="AK114" i="2" s="1"/>
  <c r="AU114" i="2"/>
  <c r="AU115" i="2" s="1"/>
  <c r="AR114" i="2"/>
  <c r="AM114" i="2"/>
  <c r="AK113" i="2"/>
  <c r="AS112" i="2"/>
  <c r="AR112" i="2"/>
  <c r="AQ112" i="2" s="1"/>
  <c r="AO112" i="2"/>
  <c r="AO111" i="2"/>
  <c r="AY110" i="2"/>
  <c r="AO110" i="2"/>
  <c r="AY109" i="2"/>
  <c r="T109" i="2"/>
  <c r="P109" i="2"/>
  <c r="L109" i="2"/>
  <c r="T107" i="2"/>
  <c r="P107" i="2"/>
  <c r="L107" i="2"/>
  <c r="T106" i="2"/>
  <c r="P106" i="2"/>
  <c r="L106" i="2"/>
  <c r="T105" i="2"/>
  <c r="P105" i="2"/>
  <c r="L105" i="2"/>
  <c r="T104" i="2"/>
  <c r="P104" i="2"/>
  <c r="L104" i="2"/>
  <c r="T103" i="2"/>
  <c r="P103" i="2"/>
  <c r="L103" i="2"/>
  <c r="T102" i="2"/>
  <c r="P102" i="2"/>
  <c r="L102" i="2"/>
  <c r="T101" i="2"/>
  <c r="P101" i="2"/>
  <c r="L101" i="2"/>
  <c r="T100" i="2"/>
  <c r="P100" i="2"/>
  <c r="L100" i="2"/>
  <c r="T99" i="2"/>
  <c r="P99" i="2"/>
  <c r="L99" i="2"/>
  <c r="T98" i="2"/>
  <c r="P98" i="2"/>
  <c r="L98" i="2"/>
  <c r="T97" i="2"/>
  <c r="P97" i="2"/>
  <c r="L97" i="2"/>
  <c r="T96" i="2"/>
  <c r="P96" i="2"/>
  <c r="L96" i="2"/>
  <c r="T95" i="2"/>
  <c r="P95" i="2"/>
  <c r="L95" i="2"/>
  <c r="T94" i="2"/>
  <c r="P94" i="2"/>
  <c r="L94" i="2"/>
  <c r="T93" i="2"/>
  <c r="P93" i="2"/>
  <c r="L93" i="2"/>
  <c r="T92" i="2"/>
  <c r="P92" i="2"/>
  <c r="L92" i="2"/>
  <c r="T91" i="2"/>
  <c r="P91" i="2"/>
  <c r="L91" i="2"/>
  <c r="T90" i="2"/>
  <c r="P90" i="2"/>
  <c r="L90" i="2"/>
  <c r="T89" i="2"/>
  <c r="P89" i="2"/>
  <c r="L89" i="2"/>
  <c r="T88" i="2"/>
  <c r="P88" i="2"/>
  <c r="L88" i="2"/>
  <c r="T87" i="2"/>
  <c r="P87" i="2"/>
  <c r="L87" i="2"/>
  <c r="T86" i="2"/>
  <c r="P86" i="2"/>
  <c r="L86" i="2"/>
  <c r="T85" i="2"/>
  <c r="P85" i="2"/>
  <c r="L85" i="2"/>
  <c r="G75" i="2"/>
  <c r="G74" i="2"/>
  <c r="G76" i="2" s="1"/>
  <c r="C76" i="2" s="1"/>
  <c r="T73" i="2"/>
  <c r="S73" i="2"/>
  <c r="Q73" i="2"/>
  <c r="P73" i="2"/>
  <c r="O73" i="2"/>
  <c r="M73" i="2"/>
  <c r="G73" i="2"/>
  <c r="T72" i="2"/>
  <c r="S72" i="2"/>
  <c r="Q72" i="2"/>
  <c r="P72" i="2"/>
  <c r="O72" i="2"/>
  <c r="M72" i="2"/>
  <c r="G72" i="2"/>
  <c r="T71" i="2"/>
  <c r="S71" i="2"/>
  <c r="Q71" i="2"/>
  <c r="P71" i="2"/>
  <c r="O71" i="2"/>
  <c r="M71" i="2"/>
  <c r="G71" i="2"/>
  <c r="G70" i="2"/>
  <c r="T69" i="2"/>
  <c r="S69" i="2"/>
  <c r="Q69" i="2"/>
  <c r="P69" i="2"/>
  <c r="O69" i="2"/>
  <c r="M69" i="2"/>
  <c r="G69" i="2"/>
  <c r="AP67" i="2"/>
  <c r="C65" i="2"/>
  <c r="E49" i="2"/>
  <c r="J38" i="2"/>
  <c r="K38" i="2" s="1"/>
  <c r="K37" i="2"/>
  <c r="J37" i="2"/>
  <c r="G37" i="2"/>
  <c r="AT30" i="2"/>
  <c r="K29" i="2"/>
  <c r="J29" i="2"/>
  <c r="G29" i="2"/>
  <c r="AY24" i="2"/>
  <c r="C24" i="2"/>
  <c r="AQ23" i="2"/>
  <c r="AY22" i="2"/>
  <c r="AQ22" i="2"/>
  <c r="F22" i="2"/>
  <c r="AQ21" i="2"/>
  <c r="AM21" i="2"/>
  <c r="AM22" i="2" s="1"/>
  <c r="F21" i="2"/>
  <c r="C21" i="2"/>
  <c r="AM20" i="2"/>
  <c r="F20" i="2"/>
  <c r="D22" i="2" s="1"/>
  <c r="C20" i="2"/>
  <c r="G19" i="2"/>
  <c r="F19" i="2"/>
  <c r="E22" i="2" s="1"/>
  <c r="E24" i="2" s="1"/>
  <c r="E19" i="2"/>
  <c r="G18" i="2"/>
  <c r="C18" i="2"/>
  <c r="F17" i="2"/>
  <c r="C17" i="2"/>
  <c r="F18" i="2" s="1"/>
  <c r="F16" i="2"/>
  <c r="AM15" i="2"/>
  <c r="AM16" i="2" s="1"/>
  <c r="AS14" i="2"/>
  <c r="AU15" i="2" s="1"/>
  <c r="AO14" i="2"/>
  <c r="AO13" i="2"/>
  <c r="G12" i="2"/>
  <c r="E41" i="2" s="1"/>
  <c r="F12" i="2"/>
  <c r="C12" i="2"/>
  <c r="AU10" i="2"/>
  <c r="E10" i="2" s="1"/>
  <c r="AQ10" i="2"/>
  <c r="AN10" i="2"/>
  <c r="F10" i="2"/>
  <c r="C10" i="2"/>
  <c r="F9" i="2"/>
  <c r="E9" i="2"/>
  <c r="C9" i="2"/>
  <c r="C11" i="2" s="1"/>
  <c r="F8" i="2"/>
  <c r="C8" i="2"/>
  <c r="AL7" i="2"/>
  <c r="E26" i="2" l="1"/>
  <c r="E25" i="2"/>
  <c r="C71" i="2" s="1"/>
  <c r="S74" i="2"/>
  <c r="E55" i="2"/>
  <c r="E56" i="2" s="1"/>
  <c r="Q74" i="2"/>
  <c r="E52" i="2"/>
  <c r="P74" i="2"/>
  <c r="O74" i="2" s="1"/>
  <c r="AQ133" i="2"/>
  <c r="AG145" i="2"/>
  <c r="AH145" i="2" s="1"/>
  <c r="AU116" i="2"/>
  <c r="AT113" i="2" s="1"/>
  <c r="AQ145" i="2"/>
  <c r="AF145" i="2"/>
  <c r="AG150" i="2"/>
  <c r="Y150" i="2"/>
  <c r="E42" i="2"/>
  <c r="C43" i="2" s="1"/>
  <c r="G40" i="2"/>
  <c r="C73" i="2" s="1"/>
  <c r="E21" i="2"/>
  <c r="R122" i="2"/>
  <c r="AF122" i="2"/>
  <c r="AD123" i="2"/>
  <c r="AR123" i="2"/>
  <c r="X130" i="2"/>
  <c r="AF131" i="2"/>
  <c r="X134" i="2"/>
  <c r="AF134" i="2"/>
  <c r="AQ134" i="2" s="1"/>
  <c r="Y135" i="2"/>
  <c r="AG135" i="2"/>
  <c r="AH135" i="2" s="1"/>
  <c r="BJ175" i="2"/>
  <c r="BR175" i="2"/>
  <c r="BJ188" i="2"/>
  <c r="BR188" i="2"/>
  <c r="BO206" i="2"/>
  <c r="AV117" i="2"/>
  <c r="AG122" i="2"/>
  <c r="AH122" i="2" s="1"/>
  <c r="R123" i="2"/>
  <c r="AF123" i="2"/>
  <c r="X127" i="2"/>
  <c r="AF127" i="2"/>
  <c r="Z128" i="2"/>
  <c r="AD129" i="2"/>
  <c r="AR129" i="2"/>
  <c r="AG131" i="2"/>
  <c r="AH131" i="2" s="1"/>
  <c r="X133" i="2"/>
  <c r="AF133" i="2"/>
  <c r="Y134" i="2"/>
  <c r="AG134" i="2"/>
  <c r="AH134" i="2" s="1"/>
  <c r="Z135" i="2"/>
  <c r="R136" i="2"/>
  <c r="X137" i="2"/>
  <c r="Z142" i="2"/>
  <c r="AH149" i="2"/>
  <c r="AD150" i="2"/>
  <c r="AH153" i="2"/>
  <c r="BE170" i="2"/>
  <c r="BM170" i="2"/>
  <c r="BU170" i="2"/>
  <c r="BG173" i="2"/>
  <c r="BH173" i="2" s="1"/>
  <c r="BO173" i="2"/>
  <c r="BP173" i="2" s="1"/>
  <c r="BI174" i="2"/>
  <c r="BJ174" i="2" s="1"/>
  <c r="BQ174" i="2"/>
  <c r="BR174" i="2" s="1"/>
  <c r="BC175" i="2"/>
  <c r="BK175" i="2"/>
  <c r="BS175" i="2"/>
  <c r="BD182" i="2"/>
  <c r="BL182" i="2"/>
  <c r="BT182" i="2"/>
  <c r="BC188" i="2"/>
  <c r="BK188" i="2"/>
  <c r="BS188" i="2"/>
  <c r="BJ194" i="2"/>
  <c r="BR194" i="2"/>
  <c r="BP206" i="2"/>
  <c r="X122" i="2"/>
  <c r="AG123" i="2"/>
  <c r="AH123" i="2" s="1"/>
  <c r="AG127" i="2"/>
  <c r="AH127" i="2" s="1"/>
  <c r="AF129" i="2"/>
  <c r="AG133" i="2"/>
  <c r="AH133" i="2" s="1"/>
  <c r="Z134" i="2"/>
  <c r="AA135" i="2"/>
  <c r="AR139" i="2"/>
  <c r="BD175" i="2"/>
  <c r="BL175" i="2"/>
  <c r="BT175" i="2"/>
  <c r="BD188" i="2"/>
  <c r="BL188" i="2"/>
  <c r="BT188" i="2"/>
  <c r="BC194" i="2"/>
  <c r="BK194" i="2"/>
  <c r="BS194" i="2"/>
  <c r="BJ200" i="2"/>
  <c r="BR200" i="2"/>
  <c r="BI206" i="2"/>
  <c r="BQ206" i="2"/>
  <c r="Y122" i="2"/>
  <c r="X123" i="2"/>
  <c r="R126" i="2"/>
  <c r="AD126" i="2"/>
  <c r="Z127" i="2"/>
  <c r="R129" i="2"/>
  <c r="X131" i="2"/>
  <c r="Z133" i="2"/>
  <c r="AA134" i="2"/>
  <c r="X136" i="2"/>
  <c r="Z137" i="2"/>
  <c r="R138" i="2"/>
  <c r="AD138" i="2"/>
  <c r="AQ138" i="2"/>
  <c r="AF148" i="2"/>
  <c r="AG148" i="2" s="1"/>
  <c r="AK148" i="2" s="1"/>
  <c r="T149" i="2"/>
  <c r="AF151" i="2"/>
  <c r="AG151" i="2" s="1"/>
  <c r="P153" i="2"/>
  <c r="AG153" i="2" s="1"/>
  <c r="BG170" i="2"/>
  <c r="BO170" i="2"/>
  <c r="BI173" i="2"/>
  <c r="BJ173" i="2" s="1"/>
  <c r="BQ173" i="2"/>
  <c r="BR173" i="2" s="1"/>
  <c r="BC174" i="2"/>
  <c r="BK174" i="2"/>
  <c r="BL174" i="2" s="1"/>
  <c r="BS174" i="2"/>
  <c r="BT174" i="2" s="1"/>
  <c r="BE175" i="2"/>
  <c r="BM175" i="2"/>
  <c r="BU175" i="2"/>
  <c r="BF182" i="2"/>
  <c r="BN182" i="2"/>
  <c r="BV182" i="2"/>
  <c r="BE188" i="2"/>
  <c r="BM188" i="2"/>
  <c r="BU188" i="2"/>
  <c r="BD194" i="2"/>
  <c r="BL194" i="2"/>
  <c r="BT194" i="2"/>
  <c r="BC200" i="2"/>
  <c r="BK200" i="2"/>
  <c r="BJ206" i="2"/>
  <c r="BR206" i="2"/>
  <c r="AD130" i="2"/>
  <c r="AR130" i="2"/>
  <c r="AD142" i="2"/>
  <c r="AH150" i="2"/>
  <c r="T153" i="2"/>
  <c r="BD174" i="2"/>
  <c r="BF175" i="2"/>
  <c r="BN175" i="2"/>
  <c r="BV175" i="2"/>
  <c r="BF188" i="2"/>
  <c r="BN188" i="2"/>
  <c r="BV188" i="2"/>
  <c r="BC206" i="2"/>
  <c r="BK206" i="2"/>
  <c r="BS206" i="2"/>
  <c r="E33" i="2"/>
  <c r="AF130" i="2"/>
  <c r="R135" i="2"/>
  <c r="Z136" i="2"/>
  <c r="R142" i="2"/>
  <c r="AR142" i="2"/>
  <c r="AH148" i="2"/>
  <c r="AH151" i="2"/>
  <c r="X153" i="2"/>
  <c r="BI170" i="2"/>
  <c r="BQ170" i="2"/>
  <c r="BC173" i="2"/>
  <c r="BK173" i="2"/>
  <c r="BL173" i="2" s="1"/>
  <c r="BS173" i="2"/>
  <c r="BT173" i="2" s="1"/>
  <c r="BE174" i="2"/>
  <c r="BF174" i="2" s="1"/>
  <c r="BM174" i="2"/>
  <c r="BN174" i="2" s="1"/>
  <c r="BU174" i="2"/>
  <c r="BV174" i="2" s="1"/>
  <c r="BG175" i="2"/>
  <c r="BO175" i="2"/>
  <c r="BG188" i="2"/>
  <c r="BO188" i="2"/>
  <c r="BT206" i="2"/>
  <c r="AR122" i="2"/>
  <c r="AA123" i="2"/>
  <c r="AR128" i="2"/>
  <c r="R134" i="2"/>
  <c r="AR135" i="2"/>
  <c r="Y138" i="2"/>
  <c r="AE143" i="2"/>
  <c r="AD149" i="2"/>
  <c r="T150" i="2"/>
  <c r="T152" i="2"/>
  <c r="AD153" i="2"/>
  <c r="BJ170" i="2"/>
  <c r="BR170" i="2"/>
  <c r="BD173" i="2"/>
  <c r="BH175" i="2"/>
  <c r="BP175" i="2"/>
  <c r="BB176" i="2"/>
  <c r="BI182" i="2"/>
  <c r="BQ182" i="2"/>
  <c r="BH188" i="2"/>
  <c r="BP188" i="2"/>
  <c r="BG194" i="2"/>
  <c r="BO194" i="2"/>
  <c r="BU206" i="2"/>
  <c r="AD131" i="2"/>
  <c r="X142" i="2"/>
  <c r="T148" i="2"/>
  <c r="AF149" i="2"/>
  <c r="AG149" i="2" s="1"/>
  <c r="X150" i="2"/>
  <c r="T151" i="2"/>
  <c r="AD152" i="2"/>
  <c r="BC170" i="2"/>
  <c r="BK170" i="2"/>
  <c r="BE173" i="2"/>
  <c r="BF173" i="2" s="1"/>
  <c r="BM173" i="2"/>
  <c r="BN173" i="2" s="1"/>
  <c r="BG174" i="2"/>
  <c r="BH174" i="2" s="1"/>
  <c r="BI175" i="2"/>
  <c r="BJ182" i="2"/>
  <c r="BI188" i="2"/>
  <c r="BH194" i="2"/>
  <c r="E34" i="2" l="1"/>
  <c r="C35" i="2" s="1"/>
  <c r="E61" i="2"/>
  <c r="G32" i="2"/>
  <c r="C72" i="2" s="1"/>
  <c r="L70" i="2"/>
  <c r="BS176" i="2"/>
  <c r="BK176" i="2"/>
  <c r="BC176" i="2"/>
  <c r="BR176" i="2"/>
  <c r="BJ176" i="2"/>
  <c r="BQ176" i="2"/>
  <c r="BI176" i="2"/>
  <c r="BP176" i="2"/>
  <c r="BH176" i="2"/>
  <c r="BO176" i="2"/>
  <c r="BG176" i="2"/>
  <c r="BV176" i="2"/>
  <c r="BN176" i="2"/>
  <c r="BF176" i="2"/>
  <c r="BU176" i="2"/>
  <c r="BM176" i="2"/>
  <c r="BE176" i="2"/>
  <c r="BT176" i="2"/>
  <c r="BL176" i="2"/>
  <c r="BD176" i="2"/>
  <c r="AF143" i="2"/>
  <c r="AQ143" i="2"/>
  <c r="AG143" i="2"/>
  <c r="AH143" i="2" s="1"/>
  <c r="T70" i="2" l="1"/>
  <c r="S70" i="2"/>
  <c r="Q70" i="2"/>
  <c r="P70" i="2"/>
  <c r="O70" i="2"/>
  <c r="M70" i="2"/>
</calcChain>
</file>

<file path=xl/sharedStrings.xml><?xml version="1.0" encoding="utf-8"?>
<sst xmlns="http://schemas.openxmlformats.org/spreadsheetml/2006/main" count="807" uniqueCount="496">
  <si>
    <t>HmbKliSchG EE Check</t>
  </si>
  <si>
    <t>nur in Hamburg!!!</t>
  </si>
  <si>
    <t>Datengrundlage bei (a) Berechnung nach ENEV /GEG (Verbrauch oder Bedarf)</t>
  </si>
  <si>
    <t>1.)</t>
  </si>
  <si>
    <t>HmbKliSchG §3 (11) Wärmeenergiebedarf ermitteln</t>
  </si>
  <si>
    <r>
      <t>Daten aus dem Energieausweis Seite 1: Gebäudenutzfläche A</t>
    </r>
    <r>
      <rPr>
        <sz val="6"/>
        <color theme="1"/>
        <rFont val="Arial"/>
        <family val="2"/>
      </rPr>
      <t>N</t>
    </r>
  </si>
  <si>
    <t>bei Berechnung Seite 2: Endenergiebedarf kWh / m² a</t>
  </si>
  <si>
    <t>bei Verbrauch Seite 3: Endenergiebedarf kWh / m² a</t>
  </si>
  <si>
    <t>Wie soll der Energiebedarf ermittelt werden?</t>
  </si>
  <si>
    <t>(c)  Endenergieverbrauch Multiplikation mit Referenznutzungsgrad 0,85 bei Öl und 0,9 bei Gaskesseln, sofern die Anlage den gesamten Wärmeenergiebedarf deckt (Wärme &amp; Warmwasser)</t>
  </si>
  <si>
    <t>Den Brennwert laut Rechnung verwenden! Der Heizwert ist für die CO2 Abgabe maßgebend.</t>
  </si>
  <si>
    <t>Ist der Wärmeenergiebedarf gleich zu setzen mit dem Jahres-Heizwärmebedarf nach ENEV/GEG?</t>
  </si>
  <si>
    <t>(a) Berechnung nach ENEV /GEG (Verbrauch oder Bedarf)</t>
  </si>
  <si>
    <t>(a.1)  Gebäudenutzfläche AN nach Energieausweis</t>
  </si>
  <si>
    <t xml:space="preserve">m² </t>
  </si>
  <si>
    <t>Endenergiebedarf nach Energieausweis</t>
  </si>
  <si>
    <t>kWh/ (m² a)</t>
  </si>
  <si>
    <t>.</t>
  </si>
  <si>
    <t>ÖL</t>
  </si>
  <si>
    <t>JA</t>
  </si>
  <si>
    <t xml:space="preserve">(b) Messung abgegebene Wärmemenge direkt an der Wärmeerzeugungsanlage </t>
  </si>
  <si>
    <t>kWh</t>
  </si>
  <si>
    <t>Gas</t>
  </si>
  <si>
    <t>NEIN</t>
  </si>
  <si>
    <t xml:space="preserve">(c) Verbrauch </t>
  </si>
  <si>
    <t>kWh -&gt; Nur wenn Wärme &amp; Warmwasser zusammen (über ein Medium) bereitet werden! Sonst nach Energieazsweis!!!</t>
  </si>
  <si>
    <t xml:space="preserve">(a) Jahres-Heizwärmebedarf </t>
  </si>
  <si>
    <t>Nur wenn Wärme &amp; Warmwasser zusammen bereitet werden!</t>
  </si>
  <si>
    <t>Endenergiebedarf</t>
  </si>
  <si>
    <t>2.)</t>
  </si>
  <si>
    <r>
      <t>HmbKliSchG §3 (12)  Nutzflächen, Gebäudenutzflächen nach § 2 Nummer 14 EnEV A</t>
    </r>
    <r>
      <rPr>
        <sz val="8"/>
        <color theme="1"/>
        <rFont val="Calibri"/>
        <family val="2"/>
        <scheme val="minor"/>
      </rPr>
      <t>N</t>
    </r>
  </si>
  <si>
    <t>nach ENEV § 19 (2) entweder nach Wohnfläche oder nach Volumen</t>
  </si>
  <si>
    <t xml:space="preserve">Wohnfläche nach Wohnflächenverordnung </t>
  </si>
  <si>
    <r>
      <t>Nutzfläche A</t>
    </r>
    <r>
      <rPr>
        <b/>
        <sz val="8"/>
        <color rgb="FFFF0000"/>
        <rFont val="Calibri"/>
        <family val="2"/>
        <scheme val="minor"/>
      </rPr>
      <t>N</t>
    </r>
    <r>
      <rPr>
        <b/>
        <sz val="11"/>
        <color rgb="FFFF0000"/>
        <rFont val="Calibri"/>
        <family val="2"/>
        <scheme val="minor"/>
      </rPr>
      <t xml:space="preserve"> nach ENEV /GEG (Verbrauch/Bedarf)</t>
    </r>
  </si>
  <si>
    <t>Volumen nach GEG/ ENEV</t>
  </si>
  <si>
    <t>m³</t>
  </si>
  <si>
    <t>mittlere Geschosshöhe</t>
  </si>
  <si>
    <t>m</t>
  </si>
  <si>
    <t>m²</t>
  </si>
  <si>
    <t>https://enev-online.com/enev_2014_praxisdialog/140811_19.04_dibt_ermittlung_gebaeudenutzflaeche_an.pdf</t>
  </si>
  <si>
    <t>ein bis zwei Wohneinheiten mit beheizten Keller Nutzflächen AN</t>
  </si>
  <si>
    <t>Volumen</t>
  </si>
  <si>
    <t>Nebenrechnung</t>
  </si>
  <si>
    <t>Wohneinheiten ohne beheizten Keller Nutzflächen AN</t>
  </si>
  <si>
    <t xml:space="preserve">Geschosshöhen &lt; 3m oder &gt; 2,5m“ </t>
  </si>
  <si>
    <t>m² Nutzflächen AN</t>
  </si>
  <si>
    <t>Wohnfläche</t>
  </si>
  <si>
    <t xml:space="preserve">Geschosshöhen &gt; 3m oder &lt; 2,5m“ </t>
  </si>
  <si>
    <t>3.)</t>
  </si>
  <si>
    <r>
      <t xml:space="preserve">HmbKliSchG §17 (2) Solar- Aperturfläche
</t>
    </r>
    <r>
      <rPr>
        <sz val="8"/>
        <color theme="1"/>
        <rFont val="Arial"/>
        <family val="2"/>
      </rPr>
      <t>Aperturfläche von 0,04 m</t>
    </r>
    <r>
      <rPr>
        <sz val="8"/>
        <color theme="1"/>
        <rFont val="Calibri"/>
        <family val="2"/>
        <scheme val="minor"/>
      </rPr>
      <t>2</t>
    </r>
    <r>
      <rPr>
        <sz val="8"/>
        <color theme="1"/>
        <rFont val="Arial"/>
        <family val="2"/>
      </rPr>
      <t xml:space="preserve"> je m</t>
    </r>
    <r>
      <rPr>
        <sz val="8"/>
        <color theme="1"/>
        <rFont val="Calibri"/>
        <family val="2"/>
        <scheme val="minor"/>
      </rPr>
      <t>2</t>
    </r>
    <r>
      <rPr>
        <sz val="8"/>
        <color theme="1"/>
        <rFont val="Arial"/>
        <family val="2"/>
      </rPr>
      <t xml:space="preserve"> Nutzfläche bei Wohngebäuden mit höchstens zwei Wohnungen oder mit einer Aperturfläche von 0,03 m</t>
    </r>
    <r>
      <rPr>
        <sz val="8"/>
        <color theme="1"/>
        <rFont val="Calibri"/>
        <family val="2"/>
        <scheme val="minor"/>
      </rPr>
      <t>2</t>
    </r>
    <r>
      <rPr>
        <sz val="8"/>
        <color theme="1"/>
        <rFont val="Arial"/>
        <family val="2"/>
      </rPr>
      <t xml:space="preserve"> je m</t>
    </r>
    <r>
      <rPr>
        <sz val="8"/>
        <color theme="1"/>
        <rFont val="Calibri"/>
        <family val="2"/>
        <scheme val="minor"/>
      </rPr>
      <t>2</t>
    </r>
    <r>
      <rPr>
        <sz val="8"/>
        <color theme="1"/>
        <rFont val="Arial"/>
        <family val="2"/>
      </rPr>
      <t xml:space="preserve"> Nutzfläche bei Wohngebäuden mit mehr als zwei Wohnungen gilt als Erfüllung der Anforderungen nach Absatz 1.</t>
    </r>
  </si>
  <si>
    <t xml:space="preserve">Wohngebäuden mit höchstens zwei Wohnungen </t>
  </si>
  <si>
    <t>m² Aperturfläche</t>
  </si>
  <si>
    <t>Wohngebäuden mit mehr als zwei Wohnungen</t>
  </si>
  <si>
    <t>Nutzfläche wird nnormalerweise nach Nutzungsarten definiert: Wohnen und Aufenthalt, Büroarbeit, Produktion, Lagern und Verkaufen. 
Heizungsräume, Lüftungsanlagen, Stromversorgung und andere Betriebsräume werden als Technische Funktionsflächen (TF) gewertet. Als Verkehrsflächen (VF) zählen Eingänge, Treppenhäuser, Fahrzeugverkehrsflächen oder Flure, aber hier ilt die ENEV/ das GEG und alles ist anders</t>
  </si>
  <si>
    <t>https://www.energie-experten.org/heizung/solarthermie/solarkollektoren/aperturflaeche</t>
  </si>
  <si>
    <t>4.)</t>
  </si>
  <si>
    <r>
      <t xml:space="preserve">DV § 6 (3) Kombinationslösungen und Berechnungsverfahren </t>
    </r>
    <r>
      <rPr>
        <b/>
        <sz val="11"/>
        <color rgb="FF000000"/>
        <rFont val="Arial"/>
        <family val="2"/>
      </rPr>
      <t>Wärmepumpe Strom</t>
    </r>
  </si>
  <si>
    <t>https://www.energieschweiz.ch/tools/solarrechner/</t>
  </si>
  <si>
    <t>Hinweis: Hybrid Anlagen (zB. Brennwert und WP) müssen Berechnet werden!</t>
  </si>
  <si>
    <t>DV §8 (1) vorlegen eines Sanierungsfahrplans</t>
  </si>
  <si>
    <t>Jahresarbeitszahl (JAZ)</t>
  </si>
  <si>
    <t>Hinweis: Jahresarbeitszahl (JAZ) muss mindestens 3,00 sein!</t>
  </si>
  <si>
    <t>wenn der Hamburger Energiepass oder der Sanierungsfahrplan nicht alter als 5 Jahre zum  Heizungstausch ist.</t>
  </si>
  <si>
    <t xml:space="preserve">Wärmeerzeugung der Wärmepumpe </t>
  </si>
  <si>
    <t>DV §7 (2) Wärmeenergiebedarfe zur Deckung der Wärmebedarfe für Raumwärme und Trinkwarmwasser</t>
  </si>
  <si>
    <t>Erzeuger-Jahresarbeitszahl (EJAZ) oder System-Jahresarbeits-zahl (SJAZ)</t>
  </si>
  <si>
    <t xml:space="preserve">Wärmeerzeugung der gesamtes Heizungssystem </t>
  </si>
  <si>
    <t>DV § 10 (3) Wärmepumpe</t>
  </si>
  <si>
    <t>DV §6 (3) elektrisch angetriebenen Wärmepumpen</t>
  </si>
  <si>
    <t>EE-Anteil</t>
  </si>
  <si>
    <t>Hinweis: mindestens 15% (12,5%) müssen erreicht werden!</t>
  </si>
  <si>
    <t xml:space="preserve">DV § 10 (2) Wärmeenergiebedarf </t>
  </si>
  <si>
    <t>DV §6 (3) Einsichtnahmestelle der VDI-Richtlinie 4650!!! &amp;  DIN EN 14785, DIN EN 15250, DIN EN 13240</t>
  </si>
  <si>
    <t>Verbrauch oder Erzeugung? Wie und Wo wird die erzeugte Energie dokumentiert?</t>
  </si>
  <si>
    <t>5.)</t>
  </si>
  <si>
    <r>
      <t xml:space="preserve">DV § 10 (4) Kombinationslösungen und Berechnungsverfahren bei </t>
    </r>
    <r>
      <rPr>
        <b/>
        <sz val="11"/>
        <color rgb="FF000000"/>
        <rFont val="Arial"/>
        <family val="2"/>
      </rPr>
      <t>Wärmepumpe Gas</t>
    </r>
  </si>
  <si>
    <t>Hinweis: Brennstoffen betriebenen Wärmepumpen müssen mindestens eine Jahresheizzahl (JHZ) von mindestens 1,20 erreichen!</t>
  </si>
  <si>
    <t>Brennstoff:</t>
  </si>
  <si>
    <t xml:space="preserve">Erdgas (L, H) </t>
  </si>
  <si>
    <t xml:space="preserve">Heizöl </t>
  </si>
  <si>
    <t xml:space="preserve">Holz </t>
  </si>
  <si>
    <t xml:space="preserve">Strom </t>
  </si>
  <si>
    <t>Fernwärme</t>
  </si>
  <si>
    <t>feste Brennstoffe</t>
  </si>
  <si>
    <t>Flüssiggas</t>
  </si>
  <si>
    <t>Liter</t>
  </si>
  <si>
    <t>Stückholz (rm)</t>
  </si>
  <si>
    <t>Steinkohle (kg)</t>
  </si>
  <si>
    <t>kg</t>
  </si>
  <si>
    <t>elektrisch angetriebenen Wärmepumpen eine Jahresarbeitszahl (JAZ) von mindestens 3,00</t>
  </si>
  <si>
    <t>kWh (Brennwert) idR. In der Rechnung angegeben</t>
  </si>
  <si>
    <t>Holzhackschnitzel (Scbm)</t>
  </si>
  <si>
    <t>Koks (kg)</t>
  </si>
  <si>
    <t xml:space="preserve">Brennstoffen betriebenen Wärmepumpen eine Jahresheizzahl (JHZ) von mindestens 1,20 </t>
  </si>
  <si>
    <t>kWh (Heizwert)</t>
  </si>
  <si>
    <t>Holzpellets (kg)</t>
  </si>
  <si>
    <t>Braunkohle (kg)</t>
  </si>
  <si>
    <t>6.)</t>
  </si>
  <si>
    <r>
      <t xml:space="preserve">Warmwasserwärmebedarf (Q) ggf. nicht bekannt / erfasst, dann kann folgend (6.a bis 6.c) </t>
    </r>
    <r>
      <rPr>
        <b/>
        <sz val="12"/>
        <color theme="1"/>
        <rFont val="Calibri"/>
        <family val="2"/>
        <scheme val="minor"/>
      </rPr>
      <t>eine</t>
    </r>
    <r>
      <rPr>
        <b/>
        <sz val="11"/>
        <color theme="1"/>
        <rFont val="Calibri"/>
        <family val="2"/>
        <scheme val="minor"/>
      </rPr>
      <t xml:space="preserve"> berechnung genutzt werden.</t>
    </r>
  </si>
  <si>
    <t>Realistisch sind 1,65 bis 2,2 kWh pro Tag pro Person</t>
  </si>
  <si>
    <t>https://www.thermondo.de/info/rat/heizen/sparpotenzial-warmwasserverbrauch/</t>
  </si>
  <si>
    <t>6.a)</t>
  </si>
  <si>
    <t>Anzahl an Personen</t>
  </si>
  <si>
    <t>Energiebedarf am Tag</t>
  </si>
  <si>
    <t xml:space="preserve">  kWh pro Tag pro Person</t>
  </si>
  <si>
    <t xml:space="preserve">Energieverbrauch </t>
  </si>
  <si>
    <t>Energiebedarf am Jahr</t>
  </si>
  <si>
    <t xml:space="preserve">  kWh im Jahr</t>
  </si>
  <si>
    <t>Raumheizung und Trinkwassererwärmung</t>
  </si>
  <si>
    <t xml:space="preserve">Abrechnungsperiode </t>
  </si>
  <si>
    <t xml:space="preserve">Verbrauch </t>
  </si>
  <si>
    <t>Anteil Warmwasser</t>
  </si>
  <si>
    <t>6.b)</t>
  </si>
  <si>
    <t xml:space="preserve">Nach GEG </t>
  </si>
  <si>
    <t>kWh je m² Nutzfläche</t>
  </si>
  <si>
    <t xml:space="preserve">Nr. </t>
  </si>
  <si>
    <t xml:space="preserve">von </t>
  </si>
  <si>
    <t xml:space="preserve">bis </t>
  </si>
  <si>
    <t xml:space="preserve">m³ / Liter / kWh / rm / Scbm / kg </t>
  </si>
  <si>
    <t xml:space="preserve">nicht enthalten </t>
  </si>
  <si>
    <t xml:space="preserve">Messwert </t>
  </si>
  <si>
    <t>Pauschal (%)</t>
  </si>
  <si>
    <t>6.c)</t>
  </si>
  <si>
    <t>nach HeizkostenVo</t>
  </si>
  <si>
    <t>kWh je m² Wohnfläche</t>
  </si>
  <si>
    <t>https://www.gesetze-im-internet.de/heizkostenv/__9.html</t>
  </si>
  <si>
    <t>Wohnfläche nach DIN 277</t>
  </si>
  <si>
    <t>https://ihreimmobilienverwaltung.de/downloads/Heizkostenverordnung.pdf</t>
  </si>
  <si>
    <t>6.1)</t>
  </si>
  <si>
    <t>Bei Trinkwarmwasser Wärmepumpe über Strom:</t>
  </si>
  <si>
    <t>https://www.stiebel-eltron.de/de/home/produkte-loesungen/warmwasser/warmwasser-waermepumpen/kompaktbaureihe_wwk220300electronicsolumluftbetrieb/wwk_300_electronic/technische-daten.product.pdf</t>
  </si>
  <si>
    <t>https://www.sonnenenergie.de/sonnenenergie-redaktion/SE-2009-05/Layout-fertig/PDF/Einzelartikel/SE-2009-05-s068-Waermepumpe-Leistungsfaehigkeit_Elektrowaermepumpen_Teil_2.pdf</t>
  </si>
  <si>
    <t>EE-Anteil bei WP Strom</t>
  </si>
  <si>
    <t>Aufstellung einer Warmwasser-Waermepumpe: 
-Keller 1,5 System-Jahresarbeitszahl SJAZ im Mittel 
-Wohnräumen 2,5 
-SJAZ 3,0 möglich wenn mehr  als  40  l/(Tag  und  Person)  (Praxiswerte  nur  zwischen  10 und 30 l/(Tag und Person) mit einem Mittel von 25 l/(Tag und Person))</t>
  </si>
  <si>
    <t>7.)</t>
  </si>
  <si>
    <t>Es liegt kein Hamburger Energiepass oder der Sanierungsfahrplan vor.</t>
  </si>
  <si>
    <t>8.)</t>
  </si>
  <si>
    <t>Einsparung durch Dämmung</t>
  </si>
  <si>
    <t>Ein Hamburger Energiepass oder der Sanierungsfahrplan (nicht alter als 5 Jahre zum Heizungstausch) liegt vor.</t>
  </si>
  <si>
    <t>Was kosten die Maßnahmen?</t>
  </si>
  <si>
    <t xml:space="preserve">Das entspricht </t>
  </si>
  <si>
    <t>Maßnahmenkombination / Übersicht</t>
  </si>
  <si>
    <t>Kosten € 
(zB. EFH)</t>
  </si>
  <si>
    <r>
      <t>Effektive Kosten</t>
    </r>
    <r>
      <rPr>
        <sz val="6"/>
        <color theme="1"/>
        <rFont val="Arial"/>
        <family val="2"/>
      </rPr>
      <t xml:space="preserve"> (Förderungen Abgezogen)</t>
    </r>
  </si>
  <si>
    <t>ca m² neue Fenster</t>
  </si>
  <si>
    <t>ca m² neue Fassade</t>
  </si>
  <si>
    <t>ca m²neues  
Dach</t>
  </si>
  <si>
    <t>ca m² 
Kellerdeckendämmung</t>
  </si>
  <si>
    <t>ca m² 
Kerndämmung</t>
  </si>
  <si>
    <t>DV §8 (1) Sanierungsfahrplan vorgesehen / vorhanden?</t>
  </si>
  <si>
    <t>Ersatzmaßnahme (einkauf von 15 % Biomethan/ 15 % Bioöl)</t>
  </si>
  <si>
    <t>auf BIOMETHAN/BIOÖL bezogen</t>
  </si>
  <si>
    <t>Warmwasserwärmebedarf mit WP Strom</t>
  </si>
  <si>
    <t>Statistische Fächen bei Ihrer Immobilie [m²]</t>
  </si>
  <si>
    <t>Einsparung durch Dämmung (Nachweis vom/über Sachverständigen!)</t>
  </si>
  <si>
    <t>Technische Lebensdauern und Folgekosten</t>
  </si>
  <si>
    <t>Komponente</t>
  </si>
  <si>
    <t>Lebensdauer</t>
  </si>
  <si>
    <t xml:space="preserve">Jährliche Instandhaltungskosten </t>
  </si>
  <si>
    <t>Entsorgungs kosten</t>
  </si>
  <si>
    <t>Rücklagen</t>
  </si>
  <si>
    <t>Erstellungskosten</t>
  </si>
  <si>
    <t>Entsorgungskosten nach der Nutzung</t>
  </si>
  <si>
    <t>Reichen die Rücklagen?</t>
  </si>
  <si>
    <t>Deckung</t>
  </si>
  <si>
    <t>€ Anfangsinvestitionen</t>
  </si>
  <si>
    <t>% der Anfangsinvestitionen</t>
  </si>
  <si>
    <t xml:space="preserve">€ </t>
  </si>
  <si>
    <t>Erstellungskosten -Rücklagen =</t>
  </si>
  <si>
    <t>%</t>
  </si>
  <si>
    <t>Min. – Max. (Jahre)</t>
  </si>
  <si>
    <t>Brennwertkessel (Öl / Gas)</t>
  </si>
  <si>
    <t>15 – 20</t>
  </si>
  <si>
    <t>1   –   2</t>
  </si>
  <si>
    <t/>
  </si>
  <si>
    <t>Sonnenkollektor (Vakuum-/Plattenkollektor)</t>
  </si>
  <si>
    <t>15 – 25</t>
  </si>
  <si>
    <t>Wärmepumpe</t>
  </si>
  <si>
    <t>2   –   4</t>
  </si>
  <si>
    <t>Brennstofftank (Öl / Gas)</t>
  </si>
  <si>
    <t>5  –  10</t>
  </si>
  <si>
    <t>Regelsystem (Zentral /Raumregelung)</t>
  </si>
  <si>
    <t>Umwälzpumpen</t>
  </si>
  <si>
    <t>10 – 20</t>
  </si>
  <si>
    <t>Geregelte Pumpen</t>
  </si>
  <si>
    <t>10 – 15</t>
  </si>
  <si>
    <t>1,5   –   2</t>
  </si>
  <si>
    <t>Rohrleitungssysteme</t>
  </si>
  <si>
    <t>Konvektoren</t>
  </si>
  <si>
    <t>Wasserheizkörper</t>
  </si>
  <si>
    <t>30 – 40</t>
  </si>
  <si>
    <t>Wasser-Fußbodenheizung</t>
  </si>
  <si>
    <t>Elektro-Speicherheizung</t>
  </si>
  <si>
    <t>Elektro-Konvektionsheizung</t>
  </si>
  <si>
    <t>Elektrische Fußbodenheizung*</t>
  </si>
  <si>
    <t>25  -  50</t>
  </si>
  <si>
    <t>Speichertank für Trinkwarmwasser</t>
  </si>
  <si>
    <t>Ventilatorkonvektoren</t>
  </si>
  <si>
    <t>Ventilatoren</t>
  </si>
  <si>
    <t>Ventilatoren mit variablem Volumenstrom</t>
  </si>
  <si>
    <t>Luftleitungen/-kanäle für gefilterte Luft</t>
  </si>
  <si>
    <t>Luftleitungen/-kanäle für ungefilterte Luft</t>
  </si>
  <si>
    <t>Klimaanlagen</t>
  </si>
  <si>
    <t>Fenster (Holz)</t>
  </si>
  <si>
    <t>Fenster (Aluminium)</t>
  </si>
  <si>
    <r>
      <t xml:space="preserve">*bei einer vereinbarten Lebensdauer entsprechend den Versuchsergebnissen </t>
    </r>
    <r>
      <rPr>
        <b/>
        <sz val="10"/>
        <color rgb="FF000000"/>
        <rFont val="Arial"/>
        <family val="2"/>
      </rPr>
      <t>Quelle: prEN 15459-1:2014 (D)</t>
    </r>
  </si>
  <si>
    <t xml:space="preserve">Beispiel:Fenster </t>
  </si>
  <si>
    <t>Kosten</t>
  </si>
  <si>
    <t xml:space="preserve">Urheber der Tabelle ist </t>
  </si>
  <si>
    <t>http://www.bbsr-energieeinsparung.de/EnEVPortal/DE/Wirtschaftlichkeit/Tabellen/PDF/TechnischeLebensdauer.pdf?__blob=publicationFile&amp;v=1</t>
  </si>
  <si>
    <t>Strom</t>
  </si>
  <si>
    <t xml:space="preserve">Volllaststunden </t>
  </si>
  <si>
    <t>WP</t>
  </si>
  <si>
    <t>KW</t>
  </si>
  <si>
    <t xml:space="preserve">Bei 25st *(1,76*1)=44qm bei 400W =10kWp = 5.785kWh/a; Bei 1025kWh/m²a Einstahlung </t>
  </si>
  <si>
    <t>Quellen:</t>
  </si>
  <si>
    <t>Anmerkungen:</t>
  </si>
  <si>
    <t>EINGABE DER DATEN</t>
  </si>
  <si>
    <t>EEG* für:</t>
  </si>
  <si>
    <t>Summe Maximale Sperrzeit bei Wärmepumpen-strom</t>
  </si>
  <si>
    <t>h</t>
  </si>
  <si>
    <r>
      <rPr>
        <b/>
        <sz val="14"/>
        <color theme="1"/>
        <rFont val="Arial"/>
        <family val="2"/>
      </rPr>
      <t>Übersicht</t>
    </r>
    <r>
      <rPr>
        <b/>
        <sz val="10"/>
        <color theme="1"/>
        <rFont val="Arial"/>
        <family val="2"/>
      </rPr>
      <t xml:space="preserve">
</t>
    </r>
    <r>
      <rPr>
        <b/>
        <sz val="6"/>
        <color theme="1"/>
        <rFont val="Arial"/>
        <family val="2"/>
      </rPr>
      <t>Alle Angaben sind ohne Gewähr und basieren ausschließlich auf Erfahrungswerten oder Schätzungen</t>
    </r>
  </si>
  <si>
    <t>Jahresarbeitszahl</t>
  </si>
  <si>
    <t>Wie Alt sind sie?*</t>
  </si>
  <si>
    <t>Jahre</t>
  </si>
  <si>
    <t>VZ Studie von 2021 
300€ je t bis 2030</t>
  </si>
  <si>
    <t>Jahr</t>
  </si>
  <si>
    <t>CO2 Abgabe</t>
  </si>
  <si>
    <t>*Angaben aus der Realität fehlen leider sehr oft!</t>
  </si>
  <si>
    <t xml:space="preserve">Heizleistung des Wärmeerzeugers </t>
  </si>
  <si>
    <t>Energieertrag aus PV:</t>
  </si>
  <si>
    <t xml:space="preserve"> + Eigenverbrauch
 + Einspeisung
 + E-Mobilität
 + mit Energiemanagementsystem
 + mit Mobilerspeicher (Akku)
 + mit Netzersatzanlagen (NEA) / Notstrom
 + mit Wärmepumpe (Heizung)
 + mit Brauchwasser-Wärmepumpe (Trinkwasser)</t>
  </si>
  <si>
    <t>Verlegeabstand S (Kollektorrohrabstand) WP Erd</t>
  </si>
  <si>
    <t>https://www.viessmann.de/de/wohngebaeude/waermepumpe/eis-energiespeicher.html</t>
  </si>
  <si>
    <t>(zwei Speicher)</t>
  </si>
  <si>
    <r>
      <t>Bei Heizungsanlagen größer 50kW Leistung ist ein UfR-</t>
    </r>
    <r>
      <rPr>
        <b/>
        <sz val="10"/>
        <color theme="1"/>
        <rFont val="Arial"/>
        <family val="2"/>
      </rPr>
      <t>MessCheck empfohlen</t>
    </r>
    <r>
      <rPr>
        <sz val="11"/>
        <color theme="1"/>
        <rFont val="Calibri"/>
        <family val="2"/>
        <scheme val="minor"/>
      </rPr>
      <t>! Infos unter https://www.hamburg.de/heizungsnetzwerk/ | www.ifbhh.de&lt; &gt;UfR-MessCheck
Der Ergebnisbericht des UfR-MessCheck beschreibt den IST-Zustand, zeigt Optimierungsvorschläge auf und nennt die möglichen Einsparpotentiale sowie die hierfür erforderlichen Aufwendungen.</t>
    </r>
  </si>
  <si>
    <t>Wärmepumpe elektrisch Außenluft Luft / Wasser 
(Neubau 3,3 / Bestand 2,9)</t>
  </si>
  <si>
    <t>(JAZ)</t>
  </si>
  <si>
    <t xml:space="preserve">                  *alternativ können Sie folgend auch die Lebenserwartung der Heizung / der Immobile nutzen… ---&gt;</t>
  </si>
  <si>
    <t xml:space="preserve">Neukonzeption des Gebäudeenergiegesetzes (GEG 2.0) … CO2 -Preis bis 2030 auf  180 €, bis 2040 auf 346 €. </t>
  </si>
  <si>
    <t>25 Euro pro Tonne</t>
  </si>
  <si>
    <t>zB.:1,3</t>
  </si>
  <si>
    <t>** keine Daten vorhanden</t>
  </si>
  <si>
    <t>Verbrauch (kWh je Jahr)</t>
  </si>
  <si>
    <t>Eingespeist</t>
  </si>
  <si>
    <t>spezifische Entzugsleistung des Untergrundes qE</t>
  </si>
  <si>
    <t>W/m</t>
  </si>
  <si>
    <t>Eisspeicher</t>
  </si>
  <si>
    <t>Wärmepumpe elektrisch Erdreich Sole / Wasser 
(Neubau 4,0 / Bestand 3,5)</t>
  </si>
  <si>
    <t>55 Euro pro Tonne</t>
  </si>
  <si>
    <t xml:space="preserve">Farbe </t>
  </si>
  <si>
    <t>vielleicht Günstiger oder Teurer</t>
  </si>
  <si>
    <t>Prognose! Ohne bezug zum Bestandssystem</t>
  </si>
  <si>
    <t>erf. Heizleistung je m² (W/m²)</t>
  </si>
  <si>
    <r>
      <t xml:space="preserve">Verbrauch [kWh]
</t>
    </r>
    <r>
      <rPr>
        <sz val="7"/>
        <color theme="1"/>
        <rFont val="Arial"/>
        <family val="2"/>
      </rPr>
      <t>(laut Rechnung oder Berechnung)</t>
    </r>
  </si>
  <si>
    <t>Eigenverbrauch</t>
  </si>
  <si>
    <t>kW/m</t>
  </si>
  <si>
    <t>Druchmesser</t>
  </si>
  <si>
    <r>
      <t>Für Ein und Zweifamilienhäuser (idR 4-30kW) gibt es den Heiz-Check https://verbraucherzentrale-energieberatung.de/beratung/bei-ihnen/heiz-check/ (</t>
    </r>
    <r>
      <rPr>
        <b/>
        <sz val="10"/>
        <color theme="1"/>
        <rFont val="Arial"/>
        <family val="2"/>
      </rPr>
      <t>durch Messung, Überprüfung der Einstellungen und die Effizienz Ihres Heizsystems</t>
    </r>
    <r>
      <rPr>
        <sz val="11"/>
        <color theme="1"/>
        <rFont val="Calibri"/>
        <family val="2"/>
        <scheme val="minor"/>
      </rPr>
      <t>) oder sie wissen noch nicht was für ein Heizungssystem das bestehende ablösen kann. Dann hilft der Eignungs-Check Heizung (</t>
    </r>
    <r>
      <rPr>
        <b/>
        <sz val="10"/>
        <color theme="1"/>
        <rFont val="Arial"/>
        <family val="2"/>
      </rPr>
      <t>Welche Heizung passt zum Haus und zum Nutzer?</t>
    </r>
    <r>
      <rPr>
        <sz val="11"/>
        <color theme="1"/>
        <rFont val="Calibri"/>
        <family val="2"/>
        <scheme val="minor"/>
      </rPr>
      <t>) https://verbraucherzentrale-energieberatung.de/beratung/bei-ihnen/eignungs-check-heizung/</t>
    </r>
  </si>
  <si>
    <t>Wärmepumpe elektrisch Grundwasser Wasser / Wasser 
(N 4,3 / B 3,6)</t>
  </si>
  <si>
    <t>Bundesimmobilien 195€ je t nach Energieausweis (Neubau 7,5 kg/m²/a, Bestand 12 kg/m²/a)</t>
  </si>
  <si>
    <t>ab 2026</t>
  </si>
  <si>
    <t>vermutlich 100 bis 300 Euro Tonne</t>
  </si>
  <si>
    <t>*** auf Gas berechnet</t>
  </si>
  <si>
    <t>Nebenrechnung bei ÖL
(informativ)</t>
  </si>
  <si>
    <r>
      <t xml:space="preserve">Energiekosten [€]
</t>
    </r>
    <r>
      <rPr>
        <sz val="8"/>
        <color theme="1"/>
        <rFont val="Arial"/>
        <family val="2"/>
      </rPr>
      <t>(laut Rechnung oder Berechnung)</t>
    </r>
  </si>
  <si>
    <t xml:space="preserve">Vergleich Heizung  | Strom </t>
  </si>
  <si>
    <t>Höhe</t>
  </si>
  <si>
    <t>Wärmepumpe Gas Außenluft Luft / Wasser  
(1,4)</t>
  </si>
  <si>
    <t xml:space="preserve">Ziel Treibhausgasemissionen im Gebäudelebenszyklus </t>
  </si>
  <si>
    <t>CO² Preis je Tonne</t>
  </si>
  <si>
    <t>**** CO2 Steuer auf Strom ist aktuell nicht angedacht. Rein Informativ!</t>
  </si>
  <si>
    <r>
      <t xml:space="preserve">Verbrauch
</t>
    </r>
    <r>
      <rPr>
        <sz val="8"/>
        <color theme="1"/>
        <rFont val="Arial"/>
        <family val="2"/>
      </rPr>
      <t>in Litern im Jahr</t>
    </r>
  </si>
  <si>
    <t>Für ein Bauchgefühl ein Vergleich aus 2017 -&gt; 
https://www.verbraucherzentrale-rlp.de/sites/default/files/2017-11/Einleger_Kostenvergleich_Heizungen%2024_08_2017_0.pdf</t>
  </si>
  <si>
    <t>https://www.co2online.de/fileadmin/hs/heizspiegel/heizspiegel-2020/heizspiegel-2020.pdf</t>
  </si>
  <si>
    <t>Abstand</t>
  </si>
  <si>
    <t>CO2-Emissionszertifikat 
(in 7 Jahren: Max 18€, Min 3€, Aktuell 60-80€)</t>
  </si>
  <si>
    <t xml:space="preserve">t </t>
  </si>
  <si>
    <t>sind ca. (kWh)
1L = 10kWh</t>
  </si>
  <si>
    <r>
      <t xml:space="preserve">CO²  
</t>
    </r>
    <r>
      <rPr>
        <b/>
        <sz val="10"/>
        <color rgb="FFFF0000"/>
        <rFont val="Arial"/>
        <family val="2"/>
      </rPr>
      <t xml:space="preserve">(B6 = ROTE ENERGIE ist für direkten Energieverbrauch ; </t>
    </r>
    <r>
      <rPr>
        <b/>
        <sz val="10"/>
        <color theme="1"/>
        <rFont val="Arial"/>
        <family val="2"/>
      </rPr>
      <t xml:space="preserve">
</t>
    </r>
    <r>
      <rPr>
        <b/>
        <sz val="10"/>
        <color theme="2" tint="-0.499984740745262"/>
        <rFont val="Arial"/>
        <family val="2"/>
      </rPr>
      <t>Graue Energie ist für Bauteile, also Beton, TGA, Dämmung usw. &amp; wird über den gesamten Lebenszyklus betrachtet, es kann als „versteckte“ Energie betrachtet werden)</t>
    </r>
    <r>
      <rPr>
        <b/>
        <sz val="10"/>
        <color theme="1"/>
        <rFont val="Arial"/>
        <family val="2"/>
      </rPr>
      <t xml:space="preserve">
</t>
    </r>
  </si>
  <si>
    <r>
      <t xml:space="preserve">Ersatzmaßnahme
</t>
    </r>
    <r>
      <rPr>
        <sz val="6"/>
        <color theme="1"/>
        <rFont val="Arial"/>
        <family val="2"/>
      </rPr>
      <t>(BIOMETHAN/BIOÖL )
ca 20-30% teurer!)</t>
    </r>
  </si>
  <si>
    <r>
      <t>Durchschnittliche Heizkosten 2019 –</t>
    </r>
    <r>
      <rPr>
        <sz val="8"/>
        <color theme="1"/>
        <rFont val="Arial"/>
        <family val="2"/>
      </rPr>
      <t xml:space="preserve"> für ein Einfamilienhaus https://www.heizspiegel.de/heizkosten-pruefen/heizkosten-pro-m2-vergleich/</t>
    </r>
  </si>
  <si>
    <t>Nummer</t>
  </si>
  <si>
    <t>System</t>
  </si>
  <si>
    <t>Invest</t>
  </si>
  <si>
    <t>IFB Erneuerbare Wärme</t>
  </si>
  <si>
    <t>Abzügl. Steuer 20% (Bezug auf max)</t>
  </si>
  <si>
    <t xml:space="preserve">Abzügl. BAFA max. 50% </t>
  </si>
  <si>
    <t>KfW</t>
  </si>
  <si>
    <t>Jahresarbeitszahl | 
Wirkungsgrad 
1=100% keine Verbesserung; 
1,1 =110% zB. Brennwert 
1,15 =115% zB. Brennwert mit hydr Abgl.
1,3 =135% zB. Brennwert mit hydr Abgl.und Solar
3 bis 5= Jahresarbeitszahl/Systemarbeitszahl</t>
  </si>
  <si>
    <t>Verbrauch [kWh] | kg</t>
  </si>
  <si>
    <t>GEG § 22 sowie Anlage 4: Primärenergiefaktoren</t>
  </si>
  <si>
    <t>CO² Fakor 
[g CO² pro kWh]
(nach GEMIS Rohdaten)
Veröffentlichung 2020
Werte sind gerundet</t>
  </si>
  <si>
    <t>CO² Fakor 
[g CO² pro kWh]
(nach zB. ENEV  &amp; GEG 
Veröffentlichung 2020)</t>
  </si>
  <si>
    <t>CO² Fakor 
(nach zB. CO2 Abgabe 
Veröffentlichung 2021)
Die Quelldaten müssen in kWh umgerechnet werden! = Geringe Tranzparenz!</t>
  </si>
  <si>
    <t>CO² Fakor 
(nach BAFA 
Veröffentlichung 2021)</t>
  </si>
  <si>
    <t>CO² Fakor 
(nach ökobaudat 
Veröffentlichung 2022)</t>
  </si>
  <si>
    <t>Ziel 
Qualitätssiegel Nachhaltiges Gebäude
Treibhausgasemissionen im Gebäudelebenszyklus
(ROTE ENERGIE; Graue Energie ist für Bauteile)</t>
  </si>
  <si>
    <t>CO² Fakor 
[g CO² pro kWh]
(nach zB. GEMIS, BAFA, CO2 Abgabe…)</t>
  </si>
  <si>
    <t>CO² und Preis</t>
  </si>
  <si>
    <t>Energiekosten 
ca. € je kWh</t>
  </si>
  <si>
    <t>€ im Jahr mit de rneuen Heizung | zzgl. CO² Abgabe</t>
  </si>
  <si>
    <t>Teurer?</t>
  </si>
  <si>
    <t>Lebenserwartung</t>
  </si>
  <si>
    <t>Lieferkosten | Grundkosten im Jahr | Strom für Pumpen</t>
  </si>
  <si>
    <t>Schornsteinfeger | Wartung &amp; Instandhaltungskosten | erf. Rücklagen im Jahr über 15 Jahre Lebensdauer</t>
  </si>
  <si>
    <t>Effizenzsteigerung*</t>
  </si>
  <si>
    <t>Effizenzsteigerung* (min | max)  | |
Energiekosten
(Bezug auf min) | 
Energiekosten
(Bezug auf max)
ohne CO2 Abgabe</t>
  </si>
  <si>
    <t>Energieträger</t>
  </si>
  <si>
    <t>∅ Preis pro Kilowattstunde</t>
  </si>
  <si>
    <t>∅ Verbrauch pro Jahr</t>
  </si>
  <si>
    <t>∅ Heizkosten pro Jahr inklusive Heiznebenkosten</t>
  </si>
  <si>
    <t>Kohlendioxidausstoß des vermieteten Gebäudes oder der Wohnung pro Quadratmeter Wohnfläche und Jahr</t>
  </si>
  <si>
    <t>Anteil Mieter</t>
  </si>
  <si>
    <t>Anteil Vermieter</t>
  </si>
  <si>
    <t xml:space="preserve">ÖL
</t>
  </si>
  <si>
    <r>
      <t xml:space="preserve">Öl-Brennwert mit externen Trinkwasserspeicher 160 Liter
(ggf. Bestand) </t>
    </r>
    <r>
      <rPr>
        <sz val="8"/>
        <color theme="1"/>
        <rFont val="Arial"/>
        <family val="2"/>
      </rPr>
      <t>BIOMETHAN/BIOÖL (15 % Biomethan oder Heizöl mit einem Anteil von 15 % Bioöl ist auch eine Option zur Pflichterfüllung in Hamburg.Rechnung muss jährlich vorgelegt werden. „Klimagas“, „Ökogas“, „Kompensationsgas“, o.ä. also reines Erdgas, dessen CO2-Emissionen über Klimaschutzprojekte kompensiert werden, gelten nicht! Bei Anlagen &gt; 50 kW muss hocheffiziente KWK eingesetzt werden, bei kleinerer Leistung reicht eine Brennwertanlage.)</t>
    </r>
  </si>
  <si>
    <t xml:space="preserve"> -</t>
  </si>
  <si>
    <t xml:space="preserve"> +einfache Installation
+hoher Nutzungsgrad
+zuverlässig &amp; bewärte Technik
-Lagerraum für Öltanks
-Ausstoß von Immesionen
-Fossiler Brennstoff
-Preisentwicklung unbekannt</t>
  </si>
  <si>
    <t>1,1 üblich | 0,7 bei Bioöl</t>
  </si>
  <si>
    <t>50€ | 0€ | 450€</t>
  </si>
  <si>
    <t>Erdgas</t>
  </si>
  <si>
    <t>6,1 Cent</t>
  </si>
  <si>
    <t>17.240 kWh</t>
  </si>
  <si>
    <t>1.320 Euro</t>
  </si>
  <si>
    <r>
      <t>&lt; 12 kg CO</t>
    </r>
    <r>
      <rPr>
        <vertAlign val="subscript"/>
        <sz val="9"/>
        <color rgb="FF000000"/>
        <rFont val="Arial"/>
        <family val="2"/>
      </rPr>
      <t>2</t>
    </r>
    <r>
      <rPr>
        <sz val="9"/>
        <color rgb="FF000000"/>
        <rFont val="Arial"/>
        <family val="2"/>
      </rPr>
      <t>/m²/a</t>
    </r>
  </si>
  <si>
    <r>
      <t xml:space="preserve">Gas Brennwert mit integriertem Trinkwasserspeicher
(ggf. Bestand) </t>
    </r>
    <r>
      <rPr>
        <sz val="8"/>
        <color theme="1"/>
        <rFont val="Arial"/>
        <family val="2"/>
      </rPr>
      <t>BIOMETHAN/BIOÖL (15 % Biomethan oder Heizöl mit einem Anteil von 15 % Bioöl ist auch eine Option zur Pflichterfüllung in Hamburg.Rechnung muss jährlich vorgelegt werden. „Klimagas“, „Ökogas“, „Kompensationsgas“, o.ä. also reines Erdgas, dessen CO2-Emissionen über Klimaschutzprojekte kompensiert werden, gelten nicht! Bei Anlagen &gt; 50 kW muss hocheffiziente KWK eingesetzt werden, bei kleinerer Leistung reicht eine Brennwertanlage.)</t>
    </r>
  </si>
  <si>
    <t xml:space="preserve"> +einfache Installation
+hoher Nutzungsgrad
+zuverlässig &amp; bewärte Technik
+ kein Lagerraum ggf. Gas Tank
-Ausstoß von Immesionen
-teilweise Fossiler Brennstoff
-Preisentwicklung unbekannt</t>
  </si>
  <si>
    <t>1,1 üblich |  0,7 bei Biomethan</t>
  </si>
  <si>
    <t>0€ | 150€ | 80€</t>
  </si>
  <si>
    <t>Heizöl</t>
  </si>
  <si>
    <t>6,7 Cent</t>
  </si>
  <si>
    <t>17.820 kWh</t>
  </si>
  <si>
    <t>1.450 Euro</t>
  </si>
  <si>
    <r>
      <t>12-&lt;17 kg CO</t>
    </r>
    <r>
      <rPr>
        <vertAlign val="subscript"/>
        <sz val="9"/>
        <color rgb="FF000000"/>
        <rFont val="Arial"/>
        <family val="2"/>
      </rPr>
      <t>2</t>
    </r>
    <r>
      <rPr>
        <sz val="9"/>
        <color rgb="FF000000"/>
        <rFont val="Arial"/>
        <family val="2"/>
      </rPr>
      <t>/m²/a</t>
    </r>
  </si>
  <si>
    <t>2,2</t>
  </si>
  <si>
    <t>Gas Brennwert mit externen Trinkwasserspeicher 160 Liter
(ggf. Bestand)</t>
  </si>
  <si>
    <t>Klimaklasse</t>
  </si>
  <si>
    <r>
      <rPr>
        <sz val="7"/>
        <color theme="1"/>
        <rFont val="Arial"/>
        <family val="2"/>
      </rPr>
      <t>Treibhausgasemission</t>
    </r>
    <r>
      <rPr>
        <sz val="8"/>
        <color theme="1"/>
        <rFont val="Calibri"/>
        <family val="2"/>
      </rPr>
      <t xml:space="preserve"> 
</t>
    </r>
    <r>
      <rPr>
        <sz val="6"/>
        <color theme="1"/>
        <rFont val="Calibri"/>
        <family val="2"/>
      </rPr>
      <t>(kg CO</t>
    </r>
    <r>
      <rPr>
        <sz val="6"/>
        <color theme="1"/>
        <rFont val="Arial"/>
        <family val="2"/>
      </rPr>
      <t>2,äq.</t>
    </r>
    <r>
      <rPr>
        <sz val="6"/>
        <color theme="1"/>
        <rFont val="Calibri"/>
        <family val="2"/>
      </rPr>
      <t xml:space="preserve"> </t>
    </r>
    <r>
      <rPr>
        <sz val="6"/>
        <color theme="1"/>
        <rFont val="Arial"/>
        <family val="2"/>
      </rPr>
      <t>pro Quadratmeter Energiebezugsfläche und Jahr aus dem Betrieb des Gebäudes) auf Basis des Energiebedarfs</t>
    </r>
  </si>
  <si>
    <t>9,1 Cent</t>
  </si>
  <si>
    <t>14.850 kWh</t>
  </si>
  <si>
    <t>1.575 Euro</t>
  </si>
  <si>
    <r>
      <t>17-&lt;22 kg CO</t>
    </r>
    <r>
      <rPr>
        <vertAlign val="subscript"/>
        <sz val="9"/>
        <color rgb="FF000000"/>
        <rFont val="Arial"/>
        <family val="2"/>
      </rPr>
      <t>2</t>
    </r>
    <r>
      <rPr>
        <sz val="9"/>
        <color rgb="FF000000"/>
        <rFont val="Arial"/>
        <family val="2"/>
      </rPr>
      <t>/m²/a</t>
    </r>
  </si>
  <si>
    <t>Eine Planung ist empfohlen, um einen langen und wirtschaftlichen betrieb sicher zu stellen. Die Herstellervorgaben aller Kompumenten beachten.</t>
  </si>
  <si>
    <t>2,3</t>
  </si>
  <si>
    <r>
      <t xml:space="preserve">Gas Brennwert mit Solarspeicher 360|350 L, 9|7m² Solaranlage zur Warmwasserbereitung 
(Heizungsunterstützung ca0,5- 1m² pro 10m² Wohnfläche + 1000l Speicher)
</t>
    </r>
    <r>
      <rPr>
        <sz val="8"/>
        <color theme="1"/>
        <rFont val="Arial"/>
        <family val="2"/>
      </rPr>
      <t>Für ein Bauchgefühl www.energieschweiz.ch/tools/solarrechner/ Beispiel: plz 8200 Schaffhausen (SH).Ist zwar nicht Hamburg aber die Schweiz ist dichter am Äquator.</t>
    </r>
  </si>
  <si>
    <t>Erst ab 20m² Bruttokollektorfläche, 60 €/m²  ;Solarertrags-Monitoring ist verpflichtend!</t>
  </si>
  <si>
    <t>A+++</t>
  </si>
  <si>
    <t>22,1 Cent</t>
  </si>
  <si>
    <t>4.730 kWh</t>
  </si>
  <si>
    <t>1.265 Euro</t>
  </si>
  <si>
    <r>
      <t>22-&lt;27 kg CO</t>
    </r>
    <r>
      <rPr>
        <vertAlign val="subscript"/>
        <sz val="9"/>
        <color rgb="FF000000"/>
        <rFont val="Arial"/>
        <family val="2"/>
      </rPr>
      <t>2</t>
    </r>
    <r>
      <rPr>
        <sz val="9"/>
        <color rgb="FF000000"/>
        <rFont val="Arial"/>
        <family val="2"/>
      </rPr>
      <t>/m²/a</t>
    </r>
  </si>
  <si>
    <t>2,4</t>
  </si>
  <si>
    <r>
      <t xml:space="preserve">Blockheizkraftwerk mit externen 1000 Liter Pufferspeicher
</t>
    </r>
    <r>
      <rPr>
        <sz val="8"/>
        <color theme="1"/>
        <rFont val="Arial"/>
        <family val="2"/>
      </rPr>
      <t>BIOMETHAN/BIOÖL (15 % Biomethan oder Heizöl mit einem Anteil von 15 % Bioöl ist auch eine Option zur Pflichterfüllung in Hamburg.Rechnung muss jährlich vorgelegt werden. „Klimagas“, „Ökogas“, „Kompensationsgas“, o.ä. also reines Erdgas, dessen CO2-Emissionen über Klimaschutzprojekte kompensiert werden, gelten nicht! Bei Anlagen &gt; 50 kW muss hocheffiziente KWK eingesetzt werden, bei kleinerer Leistung reicht eine Brennwertanlage.)</t>
    </r>
  </si>
  <si>
    <t>**kWh</t>
  </si>
  <si>
    <t>1,1 üblich |  0,5 bei Biomethan</t>
  </si>
  <si>
    <t>A++</t>
  </si>
  <si>
    <t>Holzpellets</t>
  </si>
  <si>
    <t>5,1 Cent</t>
  </si>
  <si>
    <t>14.410 kWh</t>
  </si>
  <si>
    <t>1.000 Euro</t>
  </si>
  <si>
    <r>
      <t>27-&lt;32 kg CO</t>
    </r>
    <r>
      <rPr>
        <vertAlign val="subscript"/>
        <sz val="9"/>
        <color rgb="FF000000"/>
        <rFont val="Arial"/>
        <family val="2"/>
      </rPr>
      <t>2</t>
    </r>
    <r>
      <rPr>
        <sz val="9"/>
        <color rgb="FF000000"/>
        <rFont val="Arial"/>
        <family val="2"/>
      </rPr>
      <t>/m²/a</t>
    </r>
  </si>
  <si>
    <t>2,5</t>
  </si>
  <si>
    <t>Brennstoffzelle 750 Wel mit integriertem 220 LTrinkwasserspseicher (mit Spitzenlasst-Gasbrennwertkessel) [KFW Fest 5.700€ &amp; 450€ je 100W e-Leistung]</t>
  </si>
  <si>
    <t>A+</t>
  </si>
  <si>
    <t>Holzschnitzel</t>
  </si>
  <si>
    <t>3,2 Cent</t>
  </si>
  <si>
    <t>16.500 kWh</t>
  </si>
  <si>
    <t>810 Euro</t>
  </si>
  <si>
    <r>
      <t>32-&lt;37 kg CO</t>
    </r>
    <r>
      <rPr>
        <vertAlign val="subscript"/>
        <sz val="9"/>
        <color rgb="FF000000"/>
        <rFont val="Arial"/>
        <family val="2"/>
      </rPr>
      <t>2</t>
    </r>
    <r>
      <rPr>
        <sz val="9"/>
        <color rgb="FF000000"/>
        <rFont val="Arial"/>
        <family val="2"/>
      </rPr>
      <t>/m²/a</t>
    </r>
  </si>
  <si>
    <t>2,6</t>
  </si>
  <si>
    <r>
      <t xml:space="preserve">Gas Wärmepumpe mit  ggf. Gas-Brennwertkessel 
</t>
    </r>
    <r>
      <rPr>
        <sz val="11"/>
        <color theme="1"/>
        <rFont val="Calibri"/>
        <family val="2"/>
        <scheme val="minor"/>
      </rPr>
      <t>mit externen TWWspeicher 130L</t>
    </r>
  </si>
  <si>
    <t>4.200 plus 100€ je kW</t>
  </si>
  <si>
    <t>1,1 oder  0 nicht eindeutig</t>
  </si>
  <si>
    <t>A</t>
  </si>
  <si>
    <r>
      <t>37-&lt;42 kg CO</t>
    </r>
    <r>
      <rPr>
        <vertAlign val="subscript"/>
        <sz val="9"/>
        <color rgb="FF000000"/>
        <rFont val="Arial"/>
        <family val="2"/>
      </rPr>
      <t>2</t>
    </r>
    <r>
      <rPr>
        <sz val="9"/>
        <color rgb="FF000000"/>
        <rFont val="Arial"/>
        <family val="2"/>
      </rPr>
      <t>/m²/a</t>
    </r>
  </si>
  <si>
    <t>Holz</t>
  </si>
  <si>
    <t>Holzvergaserkessel mit externen Trinkwasserspeicher 200 Liter
(IFB Biomasseanlagen werden nur dann gefördert, wenn keine unmittelbares Gas oder Wärmenetz vorliegt)</t>
  </si>
  <si>
    <t>45€ je kW</t>
  </si>
  <si>
    <t>Kg</t>
  </si>
  <si>
    <t xml:space="preserve"> +gilt als CO2 neutral
+günstiger Brennstoff
+zuverlässig &amp; bewärte Technik
+Nachwachsender Rohstoff
+Scheitholz: sehr günstiger Brennstoff, falls aus eigenem Wald
+Pellets: vollautomatisches System
- Lagerraum für Brennstoff
-Ausstoß von Immesionen
-regelmäßige Leerung der Asche
-Scheitholz: Arbeitsaufwand, Leistung nicht regelbar
-Pellets: Brennstoff teurer und Hoher Invest</t>
  </si>
  <si>
    <t xml:space="preserve">AKTUELL KEINE CO2 ABGABE! </t>
  </si>
  <si>
    <t>50€ | 0€ | 80€</t>
  </si>
  <si>
    <t>B</t>
  </si>
  <si>
    <r>
      <t>42-&lt;47 kg CO</t>
    </r>
    <r>
      <rPr>
        <vertAlign val="subscript"/>
        <sz val="9"/>
        <color rgb="FF000000"/>
        <rFont val="Arial"/>
        <family val="2"/>
      </rPr>
      <t>2</t>
    </r>
    <r>
      <rPr>
        <sz val="9"/>
        <color rgb="FF000000"/>
        <rFont val="Arial"/>
        <family val="2"/>
      </rPr>
      <t>/m²/a</t>
    </r>
  </si>
  <si>
    <t xml:space="preserve">Pelletkessel mit externen Trinkwasserspeicher 200 Liter 
(IFB Biomasseanlagen werden nur dann gefördert, wenn keine unmittelbares Gas oder Wärmenetz vorliegt)   </t>
  </si>
  <si>
    <t>C</t>
  </si>
  <si>
    <r>
      <t>47-&lt;52 kg CO</t>
    </r>
    <r>
      <rPr>
        <vertAlign val="subscript"/>
        <sz val="9"/>
        <color rgb="FF000000"/>
        <rFont val="Arial"/>
        <family val="2"/>
      </rPr>
      <t>2</t>
    </r>
    <r>
      <rPr>
        <sz val="9"/>
        <color rgb="FF000000"/>
        <rFont val="Arial"/>
        <family val="2"/>
      </rPr>
      <t>/m²/a</t>
    </r>
  </si>
  <si>
    <t>Pelletkessel Pufferspeicher 1000 Liter, Trinkwasserspeicher 200L, 10m2 Solaranlage
(IFB Biomasseanlagen werden nur dann gefördert, wenn keine unmittelbares Gas oder Wärmenetz vorliegt)</t>
  </si>
  <si>
    <t>D</t>
  </si>
  <si>
    <r>
      <t>&gt;=52 kg CO</t>
    </r>
    <r>
      <rPr>
        <vertAlign val="subscript"/>
        <sz val="9"/>
        <color rgb="FF000000"/>
        <rFont val="Arial"/>
        <family val="2"/>
      </rPr>
      <t>2</t>
    </r>
    <r>
      <rPr>
        <sz val="9"/>
        <color rgb="FF000000"/>
        <rFont val="Arial"/>
        <family val="2"/>
      </rPr>
      <t>/m²/a</t>
    </r>
  </si>
  <si>
    <t>Luft/Wasser-Wärmepumpe mit externen  Trinkwasserspeicher 220 Liter 
Herstellervorgaben beachten (max. Vorlauftemperatur, Schallemission usw.) 
(JAZ 2,8-3,8)</t>
  </si>
  <si>
    <t>1.500 plus 40€ je kW</t>
  </si>
  <si>
    <t>****kWh</t>
  </si>
  <si>
    <t xml:space="preserve"> +keine direkten  Emissionen
+wartungsarmer Betrieb
+zuverlässig &amp; bewärte Technik
+Platzsparend: kein Schornstein; kein Lagerraum für Brennstoff
+PV Anlagen/ Strom unterstützen die Anlagentechnik
-Ausstoß von Immesionen für Strom an anderem Ort
-Hohe Investition
-niedriege Vorlauftemperatur (idR. Flächenheizung) für wirtschaftlichen betrieb erforderlich
-eine Fachplanug ist empfohlen!!
Hinweis zu Geothermie!
-Genehmigung von Erdwärmebohrungen ist Ländersache_x0002_
-seit Jahren verschärft sich die Genehmigungssituation bei  Sondenanlagen (IFB Vorgaben beachten!)
-ggf. Bohrtiefenbegrenzungen _x0002_
-ggf. geforderte garantierte Soleaustrittstemperatur_x0002_
-Diskussion über Frost / Tauwechselbeständigkeit von Verpressmaterial_x0002_
-ggf. kostenverteuernden Massnahmen bei Sondenbohrungen beachten
-ggf. Genehmigung von Sonden mit Wasser als Wärmeträgermittel _x0002_
-ggf. vollständige Überwachung der Bohrung durch unabhängigen Geologen
-Verordnung über Anlagen zum Umgang mit wassergefährdenden Stoffen (VAUwS)  
-ggf. Genehmigungsverbot von Erdsonden in allen Wasserschutzzonen
=Lösung Eisspeicher!?
Zitat IFBHH: Erdwärmesonden &amp; Erdwärmekollektoren sind ...nach den Vorgaben der VDI-Richtlinie 4640, ...fachgerechte Errichtung durch ein Fachunternehmen sowie die Einhaltung der wasserwirtschaftlichen Anforderungen der zuständigen Wasserbehörde....Erdwärmesonden-Bohrungen sind nach den Qualitätsanforderungen der Technischen Regel DVGW W120-2 auszuführen....müssen die berechneten Jahresarbeitszahlen der zugehörigen Wärmepumpen mindestens 4,5 betragen...</t>
  </si>
  <si>
    <t>0,0 gebäudenah erzeugt</t>
  </si>
  <si>
    <t>0€ | 180€ | 0€</t>
  </si>
  <si>
    <t>E</t>
  </si>
  <si>
    <t>Grundwasser/Wasser-Wärmepumpe mit externen Trinkwasserspeicher 300 Liter (JAZ 3,3-4,7)</t>
  </si>
  <si>
    <t>F</t>
  </si>
  <si>
    <t>4.200 plus 100€ je kW |15% Zuschuss</t>
  </si>
  <si>
    <t>G</t>
  </si>
  <si>
    <t>https://www.stromspiegel.de/fileadmin/ssi/stromspiegel/Broschuere/stromspiegel-2021.pdf</t>
  </si>
  <si>
    <t>400€ je m³</t>
  </si>
  <si>
    <t>H</t>
  </si>
  <si>
    <r>
      <t xml:space="preserve">Brauchwasser: Elektronische Durchlauferhitzer / Elektroboiler 
</t>
    </r>
    <r>
      <rPr>
        <sz val="11"/>
        <color theme="1"/>
        <rFont val="Calibri"/>
        <family val="2"/>
        <scheme val="minor"/>
      </rPr>
      <t>Der Bedarf kann nach GEG 20 kWh je m² angesetzt werden (Nutzerprofil?)</t>
    </r>
  </si>
  <si>
    <t>-</t>
  </si>
  <si>
    <r>
      <t xml:space="preserve">Brauchwasser-Wärmepumpen 
</t>
    </r>
    <r>
      <rPr>
        <sz val="11"/>
        <color theme="1"/>
        <rFont val="Calibri"/>
        <family val="2"/>
        <scheme val="minor"/>
      </rPr>
      <t>Speichervolumen 190 (3Pers) bzw. 250 (4Pers) Liter
Je höher die Raumtemperatur der Zuluft, desto effektiver ist die Wärmepumpe! 
(JAZ 3,2-4,5)</t>
    </r>
  </si>
  <si>
    <r>
      <t xml:space="preserve">Stromdirktheizungen zB. Infrarotheizung 
</t>
    </r>
    <r>
      <rPr>
        <sz val="9"/>
        <color theme="1"/>
        <rFont val="Arial"/>
        <family val="2"/>
      </rPr>
      <t>Diese Art wird / ist in Hamburg für Bestand und Neubau verboten! Anlagen mit dieser Technik (auch Nachtspeicherheizungen) dürfen nicht mehr eingebaut werden!</t>
    </r>
    <r>
      <rPr>
        <sz val="11"/>
        <color theme="1"/>
        <rFont val="Calibri"/>
        <family val="2"/>
        <scheme val="minor"/>
      </rPr>
      <t xml:space="preserve"> 
Siehe § 11 des HmbKliSchG</t>
    </r>
  </si>
  <si>
    <t xml:space="preserve">1,8 üblich </t>
  </si>
  <si>
    <t>PV &amp; Strom</t>
  </si>
  <si>
    <r>
      <t xml:space="preserve">PV-plug 600Wp* (max idR. zwei Module inkl. zB. Schuko Stecker) 
</t>
    </r>
    <r>
      <rPr>
        <sz val="9"/>
        <color theme="1"/>
        <rFont val="Arial"/>
        <family val="2"/>
      </rPr>
      <t xml:space="preserve">Einstrahung für Hamburg ca. 900-1000 kWh im Jahr; 
Ertrag ca. 90- 130€ im Jahr (Lage Süd, 30-40° 550kwh/a; Ost o. West 450kWh/a)
*Keine Planung erforderlich! </t>
    </r>
    <r>
      <rPr>
        <b/>
        <sz val="9"/>
        <color theme="1"/>
        <rFont val="Arial"/>
        <family val="2"/>
      </rPr>
      <t>MACHEN</t>
    </r>
    <r>
      <rPr>
        <sz val="11"/>
        <color theme="1"/>
        <rFont val="Calibri"/>
        <family val="2"/>
        <scheme val="minor"/>
      </rPr>
      <t xml:space="preserve"> (Batterie 1kWh ca.1000€)</t>
    </r>
  </si>
  <si>
    <t>Photovoltaik (kurz PV) 
zB. 9,66kWp (&lt;48qm; 28 Module mit 345 Watt = 9660Wh, Wirkungsgrad (STC): 19,9%, Länge x Breite x Höhe: 1622 x 1068 x 35 mm = 1,73qm pro Modul) Berechnung im LINK (nicht Anbieterneutral!)</t>
  </si>
  <si>
    <r>
      <t xml:space="preserve">Photovoltaik 9kW Speicher (inkl. Notstromfunktion, Belüftung, Energiemanager...) </t>
    </r>
    <r>
      <rPr>
        <sz val="8"/>
        <color theme="1"/>
        <rFont val="Arial"/>
        <family val="2"/>
      </rPr>
      <t xml:space="preserve">Tipp: Warmwasser- oder Brauchwasser-Wärmepumpen (mit Heizstab / Tauchsieder) erhöhen den Eigenverbrauch und könnten im Sommer mit Heizstab als Puffer genutzt werden, aber leider nach HmbKliSchG § 6.1 PV VO"...ohne vorangegangene Umwandlung in elektrische Energie für Zwecke der Wärmenutzung..." keine anerkannte erneuerbare Energie. </t>
    </r>
  </si>
  <si>
    <t>Abhängig vom Eigenverbrauch</t>
  </si>
  <si>
    <t>Luft-Wärmepumpe (kurz WP) mit externen  Trinkwasserspeicher 220 Liter 
PV 6kWp (48m²) Speicher 1kW (PV Anlagen / Module wird nicht gefördert!)</t>
  </si>
  <si>
    <r>
      <t xml:space="preserve">Solarthermie 
</t>
    </r>
    <r>
      <rPr>
        <b/>
        <sz val="8"/>
        <color theme="1"/>
        <rFont val="Arial"/>
        <family val="2"/>
      </rPr>
      <t>als ergänzung für die Wärme-erzeuger</t>
    </r>
  </si>
  <si>
    <t xml:space="preserve">Solaranlage zur Heizungsunterstützung 10m² mit 750-1000 L Pufferspeicher, ggf. Frischwassersystem </t>
  </si>
  <si>
    <t>nur ab &gt;20qm bei 
Biomasse 90€ je qm; 
Gas 60€je qm; Wärme-verteilnetz 120€ je qm</t>
  </si>
  <si>
    <t>0€ | 0€ | 80€</t>
  </si>
  <si>
    <t>Nah- und Fernwärme
(0,08-0,45€ je kWh möglich!)</t>
  </si>
  <si>
    <t>0€ | 50€ | 80€</t>
  </si>
  <si>
    <t>https://www.ifeu.de/fileadmin/uploads/pdf/_ifeu_et_al._2021__GEG_2.0.pdf</t>
  </si>
  <si>
    <t>Optimierung Heizungsanlage</t>
  </si>
  <si>
    <t>:-)</t>
  </si>
  <si>
    <t>Teelicht (100 Stück mit 4,5h Brenndauer)
Bitte die Luftqualität / Belüftung beachten!</t>
  </si>
  <si>
    <t xml:space="preserve"> - </t>
  </si>
  <si>
    <t>Stück</t>
  </si>
  <si>
    <t>:-()</t>
  </si>
  <si>
    <t xml:space="preserve">Wasser </t>
  </si>
  <si>
    <r>
      <t xml:space="preserve">Mobilität*
</t>
    </r>
    <r>
      <rPr>
        <sz val="6"/>
        <color theme="1"/>
        <rFont val="Arial"/>
        <family val="2"/>
      </rPr>
      <t>*sehr vereinfachte betrachtung!</t>
    </r>
  </si>
  <si>
    <t>Liter Tank</t>
  </si>
  <si>
    <t>L / kW im Jahr Kraftstoff</t>
  </si>
  <si>
    <t>mal im Monat tanken</t>
  </si>
  <si>
    <t>km im Jahr</t>
  </si>
  <si>
    <t>https://www.erdgas.info/erdgas-mobil/alternative-kraftstoffe/vergleich-cng-und-lpg
https://www.fluessiggas1.de/autogas-arten-vorteile-und-kosten/</t>
  </si>
  <si>
    <t xml:space="preserve">Wasserstoff als Brennstoffzelle </t>
  </si>
  <si>
    <t>https://h2.live/fahren/
https://www.dihk.de/resource/blob/24872/fd2c89df9484cf912199041a9587a3d6/dihk-faktenpapier-wasserstoff-data.pdf
https://www.gruene-fraktion-rlp.de/wp-content/uploads/2020/12/Gutachten-Wasserstoff-TSB-1120.pdf</t>
  </si>
  <si>
    <t>Alle Angaben sind ohne Gewähr und basieren ausschließlich auf Erfahrungswerten oder Schätzungen</t>
  </si>
  <si>
    <t>KOMPENSATION über HOLZ</t>
  </si>
  <si>
    <t>Folgende Informationen sind von https://www.wildes-bayern.de/wp-content/uploads/2021/04/cUniversitaet_Muenster_CO2-Bindung-Baeume.pdf</t>
  </si>
  <si>
    <t>Hinweis:</t>
  </si>
  <si>
    <t>Fichte</t>
  </si>
  <si>
    <r>
      <t xml:space="preserve">Eine 35 m hohe Fichte mit einem Alter von 100 Jahren hat einem Durchmesser von 50 cm (gemessen in 1,3 m Höhe). Das Holzvolumen inklusive Äste aber ohne Wurzeln beträgt 3,4 m3. Die darin enthaltene gesamte Biomasse hat ein Trockengewicht von knapp 1,4 Tonnen; die Hälfte des Holzkörpers besteht aus 
Kohlenstoff, also 0,7 Tonnen. 
Das bedeutet: </t>
    </r>
    <r>
      <rPr>
        <b/>
        <sz val="10"/>
        <color theme="1"/>
        <rFont val="Arial"/>
        <family val="2"/>
      </rPr>
      <t xml:space="preserve">Eine 35 m hohe Fichte hat in 100 Jahren rund 0,7 Tonnen Kohlenstoff gespeichert. Dies entspricht einer CO2 Menge von 2,6 Tonnen CO2 (Umrechnungsfaktor 3,67). </t>
    </r>
  </si>
  <si>
    <t>Holzpellets verbrennen ist klimaneutral, zudem schadet ihre Herstellung nicht dem Wald. Darauf weist das Informationsprogramm Zukunft Altbau hin.  
Die CO2-Bilanz von Holz &amp; Holzpellets fällt gut aus. Denn Bäume binden beim Wachsen durch die Photosynthese so viel Kohlendioxid aus der Atmosphäre, wie nachher durch den Verbrennungsvorgang wieder abgegeben wird. Der Wald entnimmt der Luft für jeden Kubikmeter Holz rund eine Tonne Kohlendioxid. Wird der Kubikmeter verbrannt, wird das CO2 wieder freigesetzt. „Das ist auch der Fall, wenn das Holz im Wald verrottet“, erklärt Gerhard Freier von der Ingenieurkammer Baden-Württemberg. Erdgas, Erdöl oder Kohle dagegen würden beim Verbrennen zusätzliches CO2 in den Kreislauf abgeben.
Zitat https://www.geb-info.de/nachrichten/holzpellets-entstehen-aus-reichlich-vorhandenen-heimischen-reststoffen</t>
  </si>
  <si>
    <t>Buche</t>
  </si>
  <si>
    <t>Eine Buche mit dem selben Holzvolumen, also 3,4 m3, hat ein Trockengewicht von 1,9 Tonnen. Auch hier besteht die Hälfte des Holzkörpers aus Kohlenstoff, also rund 0,95 Tonnen Kohlenstoff. Dies multipliziert mit 3,67 ergibt 3,5 Tonnen CO2. Die Buche hat in ihrem Leben also 3,5 t CO2 gespeichert. Eine Buche mit dem gleichen Holzvolumen wie eine Fichte hat fast eine Tonne CO2 mehr gespeichert. Der Grund hierfür liegt in der höheren Holzdichte des Buchenholzes. Generell hat Laubholz, mit Ausnahme von Weichholz wie Pappel oder Weide, eine höhere Holzdichte als Nadelholz.</t>
  </si>
  <si>
    <t>Rotbuche</t>
  </si>
  <si>
    <t xml:space="preserve">Beispiel: 1 Festmeter (Kubikmeter) Rotbuche hat eine Darrdichte von 680 kg/m³. Der Kohlenstoffanteil (C) ist 50% =&gt; 680 : 2= 340 kg Kohlenstoff. 
Umrechnungsfaktor: 340 kg Kohlenstoff x 3,67 = 1248 kg CO2 ==&gt; 1 fm Buchenholz hat 1,248 Tonnen CO2 gespeichert. </t>
  </si>
  <si>
    <t>Das "Baum / Grün Radar" https://land.copernicus.eu/pan-european/high-resolution-layers/forests/tree-cover-density/status-maps/tree-cover-density-2018</t>
  </si>
  <si>
    <t>Mittendurchmesser (in cm)</t>
  </si>
  <si>
    <t>Länge (m)</t>
  </si>
  <si>
    <t>Alle Angaben bezehen sich nur auf die CO²Abgabe!</t>
  </si>
  <si>
    <t xml:space="preserve">Fm (m³) = Volumenformel eines Zylinders berechnet (V = d²/4 x pi x L) </t>
  </si>
  <si>
    <t>Kegel</t>
  </si>
  <si>
    <t>Die CO² Faktoren sind aus dem IHK online Tool (www.ihk.de/themen/umwelt-und-energie/co2-preisrechner) abgeleitet… bis heute ist das Gesetz zur CO² Abgabe für mich nicht auffindbar/ zugänglich!</t>
  </si>
  <si>
    <t>Je schwerer das Holz (die Biomasse), desto mehr CO2 wird gespeichert.     Fm (m³)</t>
  </si>
  <si>
    <t>Darrdichte (kg/m³)</t>
  </si>
  <si>
    <t xml:space="preserve"> = </t>
  </si>
  <si>
    <t>aktuell keine CO2 Abgabe auf Strom</t>
  </si>
  <si>
    <t xml:space="preserve">Darrdichte [kg/ m³] </t>
  </si>
  <si>
    <t>Anzahl</t>
  </si>
  <si>
    <t>1t CO2 = kwh</t>
  </si>
  <si>
    <t xml:space="preserve">CO2 [kg] je kWh </t>
  </si>
  <si>
    <t>Tanne</t>
  </si>
  <si>
    <t>Pappel</t>
  </si>
  <si>
    <t>1 m³ = 10kWh</t>
  </si>
  <si>
    <t>1L = 10 kWh</t>
  </si>
  <si>
    <t>Heizöl L / Diesel</t>
  </si>
  <si>
    <t>Douglasie</t>
  </si>
  <si>
    <t>Fm = Festmeter (m³) = ein Kubikmeter Holz ohne Zwischen-räume. Es wird zwischen Vorratsfestmeter (Vfm) und Erntefest-meter (Efm) unterschieden.</t>
  </si>
  <si>
    <t>1kg = 14 kWh</t>
  </si>
  <si>
    <t xml:space="preserve">Flüssiggas </t>
  </si>
  <si>
    <t>Kiefer</t>
  </si>
  <si>
    <t>Linde</t>
  </si>
  <si>
    <t>Weide</t>
  </si>
  <si>
    <t>Lärche</t>
  </si>
  <si>
    <t xml:space="preserve">Erle </t>
  </si>
  <si>
    <t xml:space="preserve">Dark Red Meranti </t>
  </si>
  <si>
    <t>Kirschbaum</t>
  </si>
  <si>
    <t xml:space="preserve">Ulme/ Rüster </t>
  </si>
  <si>
    <t>Ahorn (euro)</t>
  </si>
  <si>
    <t>Birke</t>
  </si>
  <si>
    <t>Birnbaum</t>
  </si>
  <si>
    <t>Eiche</t>
  </si>
  <si>
    <t>Esche</t>
  </si>
  <si>
    <t>Nussbaum</t>
  </si>
  <si>
    <t xml:space="preserve">Buche </t>
  </si>
  <si>
    <t>Apfel</t>
  </si>
  <si>
    <t>Teak</t>
  </si>
  <si>
    <t>Robinie</t>
  </si>
  <si>
    <t xml:space="preserve">Bongossi/ Azobe </t>
  </si>
  <si>
    <t>Ebenholz</t>
  </si>
  <si>
    <t>Pockholz</t>
  </si>
  <si>
    <t>Grafik von https://www.landwirtschaftskammer.de/duesse/znr/pdfs/2007/2007-01-25-weg-vom-oel-06.pdf</t>
  </si>
  <si>
    <t>https://www.rampa.com/service/wp-content/uploads/2018/02/Holzhaerten_DE.pdf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</si>
</sst>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0\ &quot;€&quot;;[Red]\-#,##0\ &quot;€&quot;"/>
    <numFmt numFmtId="44" formatCode="_-* #,##0.00\ &quot;€&quot;_-;\-* #,##0.00\ &quot;€&quot;_-;_-* &quot;-&quot;??\ &quot;€&quot;_-;_-@_-"/>
    <numFmt numFmtId="43" formatCode="_-* #,##0.00_-;\-* #,##0.00_-;_-* &quot;-&quot;??_-;_-@_-"/>
    <numFmt numFmtId="164" formatCode="_-* #,##0_-;\-* #,##0_-;_-* &quot;-&quot;??_-;_-@_-"/>
    <numFmt numFmtId="165" formatCode="_-* #,##0\ [$€-407]_-;\-* #,##0\ [$€-407]_-;_-* &quot;-&quot;??\ [$€-407]_-;_-@_-"/>
    <numFmt numFmtId="166" formatCode="0\ &quot;m²&quot;"/>
    <numFmt numFmtId="167" formatCode="_-* #,##0\ &quot;€&quot;_-;\-* #,##0\ &quot;€&quot;_-;_-* &quot;-&quot;??\ &quot;€&quot;_-;_-@_-"/>
    <numFmt numFmtId="168" formatCode="#,##0\ &quot;€&quot;"/>
    <numFmt numFmtId="169" formatCode="0.0\ &quot;JAZ&quot;"/>
    <numFmt numFmtId="170" formatCode="0.00\ &quot;m²&quot;"/>
    <numFmt numFmtId="171" formatCode="0\ &quot; W&quot;"/>
    <numFmt numFmtId="172" formatCode="0\ &quot; kW&quot;"/>
    <numFmt numFmtId="173" formatCode="0.0\ &quot; t CO2-eq&quot;"/>
    <numFmt numFmtId="174" formatCode="0&quot; kWh /a &quot;"/>
    <numFmt numFmtId="175" formatCode="0\ &quot;kWh&quot;"/>
    <numFmt numFmtId="176" formatCode="0\ &quot;W/m²&quot;"/>
    <numFmt numFmtId="177" formatCode="0\ &quot; kg CO2 Äqu./m² a &quot;"/>
    <numFmt numFmtId="178" formatCode="0.0\ &quot; t CO2 Äqu./m² a &quot;"/>
    <numFmt numFmtId="179" formatCode="#,##0.00\ &quot;€&quot;"/>
    <numFmt numFmtId="180" formatCode="0.0000000"/>
    <numFmt numFmtId="181" formatCode="0.0\ &quot; kwh/kg&quot;"/>
    <numFmt numFmtId="182" formatCode="0.0"/>
    <numFmt numFmtId="183" formatCode="0.00\ &quot; € je Liter&quot;"/>
    <numFmt numFmtId="184" formatCode="0.00\ &quot; t CO2-eq&quot;"/>
    <numFmt numFmtId="185" formatCode="_-* #,##0.0\ &quot;€&quot;_-;\-* #,##0.0\ &quot;€&quot;_-;_-* &quot;-&quot;??\ &quot;€&quot;_-;_-@_-"/>
    <numFmt numFmtId="186" formatCode="0\ &quot; € je kg&quot;"/>
    <numFmt numFmtId="187" formatCode="0.00\ &quot; € je kWh&quot;"/>
    <numFmt numFmtId="188" formatCode="_-* #,##0.000_-;\-* #,##0.000_-;_-* &quot;-&quot;??_-;_-@_-"/>
    <numFmt numFmtId="189" formatCode="0.000"/>
  </numFmts>
  <fonts count="7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color theme="1"/>
      <name val="Arial"/>
      <family val="2"/>
    </font>
    <font>
      <b/>
      <sz val="14"/>
      <color theme="1"/>
      <name val="Calibri"/>
      <family val="2"/>
      <scheme val="minor"/>
    </font>
    <font>
      <sz val="6"/>
      <color theme="1"/>
      <name val="Arial"/>
      <family val="2"/>
    </font>
    <font>
      <sz val="10"/>
      <name val="Arial"/>
      <family val="2"/>
    </font>
    <font>
      <sz val="10"/>
      <color rgb="FFFF0000"/>
      <name val="Arial"/>
      <family val="2"/>
    </font>
    <font>
      <sz val="10"/>
      <color theme="0"/>
      <name val="Arial"/>
      <family val="2"/>
    </font>
    <font>
      <b/>
      <sz val="9"/>
      <color theme="1"/>
      <name val="Arial"/>
      <family val="2"/>
    </font>
    <font>
      <b/>
      <sz val="11"/>
      <color rgb="FFFF0000"/>
      <name val="Calibri"/>
      <family val="2"/>
      <scheme val="minor"/>
    </font>
    <font>
      <sz val="11"/>
      <name val="Calibri"/>
      <family val="2"/>
      <scheme val="minor"/>
    </font>
    <font>
      <sz val="8"/>
      <color theme="1"/>
      <name val="Arial"/>
      <family val="2"/>
    </font>
    <font>
      <b/>
      <sz val="9"/>
      <color theme="0"/>
      <name val="Arial"/>
      <family val="2"/>
    </font>
    <font>
      <i/>
      <sz val="11"/>
      <color rgb="FFFF0000"/>
      <name val="Calibri"/>
      <family val="2"/>
      <scheme val="minor"/>
    </font>
    <font>
      <sz val="8"/>
      <color theme="1"/>
      <name val="Calibri"/>
      <family val="2"/>
      <scheme val="minor"/>
    </font>
    <font>
      <i/>
      <sz val="11"/>
      <color theme="0"/>
      <name val="Calibri"/>
      <family val="2"/>
      <scheme val="minor"/>
    </font>
    <font>
      <b/>
      <sz val="8"/>
      <color rgb="FFFF0000"/>
      <name val="Calibri"/>
      <family val="2"/>
      <scheme val="minor"/>
    </font>
    <font>
      <sz val="9"/>
      <color theme="1"/>
      <name val="Arial"/>
      <family val="2"/>
    </font>
    <font>
      <sz val="7"/>
      <color theme="1"/>
      <name val="Arial"/>
      <family val="2"/>
    </font>
    <font>
      <sz val="11"/>
      <color rgb="FF000000"/>
      <name val="Arial"/>
      <family val="2"/>
    </font>
    <font>
      <b/>
      <sz val="11"/>
      <color rgb="FF000000"/>
      <name val="Arial"/>
      <family val="2"/>
    </font>
    <font>
      <sz val="11"/>
      <color theme="0"/>
      <name val="Arial"/>
      <family val="2"/>
    </font>
    <font>
      <sz val="9"/>
      <color rgb="FF000000"/>
      <name val="Arial"/>
      <family val="2"/>
    </font>
    <font>
      <b/>
      <sz val="12"/>
      <color theme="1"/>
      <name val="Calibri"/>
      <family val="2"/>
      <scheme val="minor"/>
    </font>
    <font>
      <b/>
      <sz val="10"/>
      <color theme="0"/>
      <name val="Arial-BoldMT"/>
    </font>
    <font>
      <sz val="8"/>
      <color theme="0"/>
      <name val="ArialMT"/>
    </font>
    <font>
      <sz val="10"/>
      <color theme="1"/>
      <name val="Calibri"/>
      <family val="2"/>
      <scheme val="minor"/>
    </font>
    <font>
      <b/>
      <sz val="8"/>
      <color theme="1"/>
      <name val="Arial"/>
      <family val="2"/>
    </font>
    <font>
      <i/>
      <sz val="11"/>
      <color theme="1"/>
      <name val="Calibri"/>
      <family val="2"/>
      <scheme val="minor"/>
    </font>
    <font>
      <sz val="9"/>
      <color theme="1"/>
      <name val="Calibri"/>
      <family val="2"/>
      <scheme val="minor"/>
    </font>
    <font>
      <b/>
      <sz val="12"/>
      <color theme="1"/>
      <name val="Arial"/>
      <family val="2"/>
    </font>
    <font>
      <b/>
      <sz val="9"/>
      <color rgb="FF000000"/>
      <name val="Arial"/>
      <family val="2"/>
    </font>
    <font>
      <b/>
      <sz val="7"/>
      <color rgb="FF000000"/>
      <name val="Arial"/>
      <family val="2"/>
    </font>
    <font>
      <sz val="8"/>
      <color rgb="FF000000"/>
      <name val="Arial"/>
      <family val="2"/>
    </font>
    <font>
      <sz val="7"/>
      <color rgb="FF000000"/>
      <name val="Arial"/>
      <family val="2"/>
    </font>
    <font>
      <sz val="10"/>
      <color rgb="FF000000"/>
      <name val="Arial"/>
      <family val="2"/>
    </font>
    <font>
      <b/>
      <sz val="10"/>
      <color rgb="FF000000"/>
      <name val="Arial"/>
      <family val="2"/>
    </font>
    <font>
      <b/>
      <sz val="10"/>
      <color theme="1"/>
      <name val="Arial"/>
      <family val="2"/>
    </font>
    <font>
      <b/>
      <sz val="10"/>
      <color theme="2"/>
      <name val="Arial"/>
      <family val="2"/>
    </font>
    <font>
      <u/>
      <sz val="10"/>
      <color theme="10"/>
      <name val="Arial"/>
      <family val="2"/>
    </font>
    <font>
      <u/>
      <sz val="8"/>
      <color theme="10"/>
      <name val="Arial"/>
      <family val="2"/>
    </font>
    <font>
      <b/>
      <sz val="7"/>
      <color theme="1"/>
      <name val="Arial"/>
      <family val="2"/>
    </font>
    <font>
      <b/>
      <sz val="9"/>
      <color theme="2"/>
      <name val="Arial"/>
      <family val="2"/>
    </font>
    <font>
      <b/>
      <sz val="22"/>
      <color theme="1"/>
      <name val="Arial"/>
      <family val="2"/>
    </font>
    <font>
      <sz val="12"/>
      <color theme="1"/>
      <name val="Arial"/>
      <family val="2"/>
    </font>
    <font>
      <b/>
      <sz val="14"/>
      <color theme="1"/>
      <name val="Arial"/>
      <family val="2"/>
    </font>
    <font>
      <b/>
      <sz val="6"/>
      <color theme="1"/>
      <name val="Arial"/>
      <family val="2"/>
    </font>
    <font>
      <b/>
      <sz val="10"/>
      <color rgb="FF000000"/>
      <name val="Calibri"/>
      <family val="2"/>
    </font>
    <font>
      <sz val="1"/>
      <color rgb="FFFF3300"/>
      <name val="Arial"/>
      <family val="2"/>
    </font>
    <font>
      <sz val="6.5"/>
      <color theme="1"/>
      <name val="Arial"/>
      <family val="2"/>
    </font>
    <font>
      <sz val="7.5"/>
      <color theme="1"/>
      <name val="Arial"/>
      <family val="2"/>
    </font>
    <font>
      <sz val="10"/>
      <color rgb="FF000000"/>
      <name val="Calibri"/>
      <family val="2"/>
    </font>
    <font>
      <b/>
      <sz val="9"/>
      <color rgb="FFFF0000"/>
      <name val="Arial"/>
      <family val="2"/>
    </font>
    <font>
      <b/>
      <sz val="10"/>
      <color rgb="FFFF0000"/>
      <name val="Arial"/>
      <family val="2"/>
    </font>
    <font>
      <b/>
      <sz val="10"/>
      <color theme="2" tint="-0.499984740745262"/>
      <name val="Arial"/>
      <family val="2"/>
    </font>
    <font>
      <b/>
      <sz val="12"/>
      <color rgb="FF00B050"/>
      <name val="Arial"/>
      <family val="2"/>
    </font>
    <font>
      <u/>
      <sz val="9"/>
      <color theme="10"/>
      <name val="Arial"/>
      <family val="2"/>
    </font>
    <font>
      <sz val="5"/>
      <color theme="1"/>
      <name val="Arial"/>
      <family val="2"/>
    </font>
    <font>
      <vertAlign val="subscript"/>
      <sz val="9"/>
      <color rgb="FF000000"/>
      <name val="Arial"/>
      <family val="2"/>
    </font>
    <font>
      <sz val="8"/>
      <color theme="1"/>
      <name val="Calibri"/>
      <family val="2"/>
    </font>
    <font>
      <sz val="6"/>
      <color theme="1"/>
      <name val="Calibri"/>
      <family val="2"/>
    </font>
    <font>
      <b/>
      <sz val="12"/>
      <color rgb="FFFF0000"/>
      <name val="Arial"/>
      <family val="2"/>
    </font>
    <font>
      <sz val="12"/>
      <name val="Arial"/>
      <family val="2"/>
    </font>
    <font>
      <b/>
      <sz val="10"/>
      <color theme="0"/>
      <name val="Arial"/>
      <family val="2"/>
    </font>
    <font>
      <b/>
      <sz val="10"/>
      <name val="Arial"/>
      <family val="2"/>
    </font>
    <font>
      <sz val="9"/>
      <color theme="0"/>
      <name val="Arial"/>
      <family val="2"/>
    </font>
    <font>
      <sz val="12"/>
      <color rgb="FF00B050"/>
      <name val="Arial"/>
      <family val="2"/>
    </font>
    <font>
      <b/>
      <sz val="24"/>
      <color theme="1"/>
      <name val="Arial"/>
      <family val="2"/>
    </font>
  </fonts>
  <fills count="15">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F6EA94"/>
        <bgColor indexed="64"/>
      </patternFill>
    </fill>
    <fill>
      <patternFill patternType="solid">
        <fgColor theme="5"/>
        <bgColor indexed="64"/>
      </patternFill>
    </fill>
    <fill>
      <patternFill patternType="solid">
        <fgColor rgb="FFC0C0C0"/>
        <bgColor indexed="64"/>
      </patternFill>
    </fill>
    <fill>
      <patternFill patternType="solid">
        <fgColor rgb="FFFF7C80"/>
        <bgColor indexed="64"/>
      </patternFill>
    </fill>
    <fill>
      <patternFill patternType="solid">
        <fgColor rgb="FFF2F2F2"/>
        <bgColor indexed="64"/>
      </patternFill>
    </fill>
    <fill>
      <patternFill patternType="solid">
        <fgColor theme="0" tint="-4.9989318521683403E-2"/>
        <bgColor indexed="64"/>
      </patternFill>
    </fill>
    <fill>
      <patternFill patternType="solid">
        <fgColor rgb="FFCDCECE"/>
        <bgColor indexed="64"/>
      </patternFill>
    </fill>
    <fill>
      <patternFill patternType="solid">
        <fgColor rgb="FFFF3300"/>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59999389629810485"/>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2"/>
      </left>
      <right/>
      <top style="medium">
        <color theme="2"/>
      </top>
      <bottom style="medium">
        <color theme="2"/>
      </bottom>
      <diagonal/>
    </border>
    <border>
      <left/>
      <right/>
      <top style="medium">
        <color theme="2"/>
      </top>
      <bottom style="medium">
        <color theme="2"/>
      </bottom>
      <diagonal/>
    </border>
    <border>
      <left/>
      <right style="medium">
        <color theme="2"/>
      </right>
      <top style="medium">
        <color theme="2"/>
      </top>
      <bottom style="medium">
        <color theme="2"/>
      </bottom>
      <diagonal/>
    </border>
    <border>
      <left style="medium">
        <color theme="2"/>
      </left>
      <right style="medium">
        <color theme="2"/>
      </right>
      <top style="medium">
        <color theme="2"/>
      </top>
      <bottom/>
      <diagonal/>
    </border>
    <border>
      <left style="medium">
        <color theme="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style="medium">
        <color theme="0" tint="-0.14993743705557422"/>
      </top>
      <bottom/>
      <diagonal/>
    </border>
    <border>
      <left/>
      <right style="medium">
        <color theme="0" tint="-0.14993743705557422"/>
      </right>
      <top style="medium">
        <color theme="0" tint="-0.14993743705557422"/>
      </top>
      <bottom/>
      <diagonal/>
    </border>
    <border>
      <left style="medium">
        <color theme="2"/>
      </left>
      <right style="medium">
        <color theme="2"/>
      </right>
      <top/>
      <bottom style="medium">
        <color indexed="64"/>
      </bottom>
      <diagonal/>
    </border>
    <border>
      <left style="medium">
        <color theme="2"/>
      </left>
      <right/>
      <top style="medium">
        <color theme="2"/>
      </top>
      <bottom style="medium">
        <color indexed="64"/>
      </bottom>
      <diagonal/>
    </border>
    <border>
      <left/>
      <right/>
      <top style="medium">
        <color theme="2"/>
      </top>
      <bottom style="medium">
        <color indexed="64"/>
      </bottom>
      <diagonal/>
    </border>
    <border>
      <left/>
      <right style="medium">
        <color theme="2"/>
      </right>
      <top style="medium">
        <color theme="2"/>
      </top>
      <bottom style="medium">
        <color indexed="64"/>
      </bottom>
      <diagonal/>
    </border>
    <border>
      <left/>
      <right/>
      <top/>
      <bottom style="medium">
        <color indexed="64"/>
      </bottom>
      <diagonal/>
    </border>
    <border>
      <left/>
      <right style="medium">
        <color theme="0" tint="-0.14996795556505021"/>
      </right>
      <top/>
      <bottom style="medium">
        <color indexed="64"/>
      </bottom>
      <diagonal/>
    </border>
    <border>
      <left style="medium">
        <color theme="0" tint="-0.14996795556505021"/>
      </left>
      <right/>
      <top/>
      <bottom style="medium">
        <color indexed="64"/>
      </bottom>
      <diagonal/>
    </border>
    <border>
      <left/>
      <right style="medium">
        <color theme="0" tint="-0.14993743705557422"/>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medium">
        <color rgb="FF000000"/>
      </bottom>
      <diagonal/>
    </border>
    <border>
      <left/>
      <right style="thin">
        <color indexed="64"/>
      </right>
      <top/>
      <bottom style="medium">
        <color rgb="FF000000"/>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style="thick">
        <color indexed="64"/>
      </right>
      <top style="thin">
        <color indexed="64"/>
      </top>
      <bottom style="thick">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auto="1"/>
      </left>
      <right/>
      <top style="hair">
        <color auto="1"/>
      </top>
      <bottom style="hair">
        <color indexed="64"/>
      </bottom>
      <diagonal/>
    </border>
    <border>
      <left/>
      <right style="thin">
        <color indexed="64"/>
      </right>
      <top style="hair">
        <color auto="1"/>
      </top>
      <bottom style="hair">
        <color indexed="64"/>
      </bottom>
      <diagonal/>
    </border>
    <border>
      <left/>
      <right/>
      <top style="hair">
        <color indexed="64"/>
      </top>
      <bottom style="hair">
        <color indexed="64"/>
      </bottom>
      <diagonal/>
    </border>
    <border>
      <left style="thin">
        <color auto="1"/>
      </left>
      <right style="hair">
        <color auto="1"/>
      </right>
      <top style="hair">
        <color auto="1"/>
      </top>
      <bottom style="hair">
        <color auto="1"/>
      </bottom>
      <diagonal/>
    </border>
    <border>
      <left style="hair">
        <color indexed="64"/>
      </left>
      <right style="thin">
        <color indexed="64"/>
      </right>
      <top style="hair">
        <color indexed="64"/>
      </top>
      <bottom style="hair">
        <color indexed="64"/>
      </bottom>
      <diagonal/>
    </border>
  </borders>
  <cellStyleXfs count="9">
    <xf numFmtId="0" fontId="0"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 fillId="0" borderId="0"/>
    <xf numFmtId="44" fontId="4" fillId="0" borderId="0" applyFont="0" applyFill="0" applyBorder="0" applyAlignment="0" applyProtection="0"/>
    <xf numFmtId="0" fontId="41" fillId="0" borderId="0" applyNumberFormat="0" applyFill="0" applyBorder="0" applyAlignment="0" applyProtection="0"/>
    <xf numFmtId="0" fontId="1" fillId="0" borderId="0"/>
    <xf numFmtId="0" fontId="7" fillId="0" borderId="0"/>
  </cellStyleXfs>
  <cellXfs count="612">
    <xf numFmtId="0" fontId="0" fillId="0" borderId="0" xfId="0"/>
    <xf numFmtId="0" fontId="4" fillId="0" borderId="0" xfId="1"/>
    <xf numFmtId="0" fontId="5" fillId="0" borderId="0" xfId="1" applyFont="1"/>
    <xf numFmtId="0" fontId="4" fillId="0" borderId="0" xfId="1" applyAlignment="1">
      <alignment horizontal="left" vertical="top"/>
    </xf>
    <xf numFmtId="0" fontId="7" fillId="0" borderId="0" xfId="1" applyFont="1"/>
    <xf numFmtId="0" fontId="8" fillId="0" borderId="0" xfId="1" applyFont="1"/>
    <xf numFmtId="0" fontId="9" fillId="0" borderId="0" xfId="1" applyFont="1"/>
    <xf numFmtId="0" fontId="4" fillId="2" borderId="1" xfId="1" applyFill="1" applyBorder="1" applyAlignment="1">
      <alignment horizontal="center" vertical="top" wrapText="1"/>
    </xf>
    <xf numFmtId="0" fontId="4" fillId="2" borderId="2" xfId="1" applyFill="1" applyBorder="1" applyAlignment="1">
      <alignment horizontal="center" vertical="top" wrapText="1"/>
    </xf>
    <xf numFmtId="0" fontId="4" fillId="2" borderId="3" xfId="1" applyFill="1" applyBorder="1" applyAlignment="1">
      <alignment horizontal="center" vertical="top" wrapText="1"/>
    </xf>
    <xf numFmtId="0" fontId="4" fillId="0" borderId="4" xfId="1" applyBorder="1" applyAlignment="1">
      <alignment wrapText="1"/>
    </xf>
    <xf numFmtId="0" fontId="4" fillId="2" borderId="4" xfId="1" applyFill="1" applyBorder="1" applyAlignment="1">
      <alignment horizontal="center" vertical="top" wrapText="1"/>
    </xf>
    <xf numFmtId="0" fontId="4" fillId="2" borderId="0" xfId="1" applyFill="1" applyAlignment="1">
      <alignment horizontal="center" vertical="top" wrapText="1"/>
    </xf>
    <xf numFmtId="0" fontId="4" fillId="2" borderId="5" xfId="1" applyFill="1" applyBorder="1" applyAlignment="1">
      <alignment horizontal="center" vertical="top" wrapText="1"/>
    </xf>
    <xf numFmtId="0" fontId="4" fillId="2" borderId="6" xfId="1" applyFill="1" applyBorder="1" applyAlignment="1">
      <alignment horizontal="center" vertical="top" wrapText="1"/>
    </xf>
    <xf numFmtId="0" fontId="4" fillId="2" borderId="7" xfId="1" applyFill="1" applyBorder="1" applyAlignment="1">
      <alignment horizontal="center" vertical="top" wrapText="1"/>
    </xf>
    <xf numFmtId="0" fontId="4" fillId="2" borderId="8" xfId="1" applyFill="1" applyBorder="1" applyAlignment="1">
      <alignment horizontal="center" vertical="top" wrapText="1"/>
    </xf>
    <xf numFmtId="0" fontId="4" fillId="0" borderId="9" xfId="1" applyBorder="1" applyAlignment="1">
      <alignment wrapText="1"/>
    </xf>
    <xf numFmtId="0" fontId="4" fillId="0" borderId="10" xfId="1" applyBorder="1" applyAlignment="1">
      <alignment wrapText="1"/>
    </xf>
    <xf numFmtId="0" fontId="4" fillId="3" borderId="11" xfId="1" applyFill="1" applyBorder="1"/>
    <xf numFmtId="0" fontId="10" fillId="0" borderId="4" xfId="1" applyFont="1" applyBorder="1" applyAlignment="1">
      <alignment wrapText="1"/>
    </xf>
    <xf numFmtId="0" fontId="10" fillId="0" borderId="0" xfId="1" applyFont="1" applyAlignment="1">
      <alignment wrapText="1"/>
    </xf>
    <xf numFmtId="0" fontId="11" fillId="0" borderId="0" xfId="1" applyFont="1"/>
    <xf numFmtId="0" fontId="4" fillId="0" borderId="11" xfId="1" applyBorder="1"/>
    <xf numFmtId="0" fontId="7" fillId="0" borderId="0" xfId="1" applyFont="1" applyAlignment="1">
      <alignment horizontal="left" vertical="top"/>
    </xf>
    <xf numFmtId="0" fontId="4" fillId="0" borderId="9" xfId="1" applyBorder="1"/>
    <xf numFmtId="0" fontId="4" fillId="0" borderId="10" xfId="1" applyBorder="1"/>
    <xf numFmtId="0" fontId="12" fillId="0" borderId="11" xfId="1" applyFont="1" applyBorder="1"/>
    <xf numFmtId="0" fontId="12" fillId="0" borderId="0" xfId="1" applyFont="1"/>
    <xf numFmtId="0" fontId="13" fillId="0" borderId="9" xfId="1" applyFont="1" applyBorder="1"/>
    <xf numFmtId="0" fontId="13" fillId="0" borderId="12" xfId="1" applyFont="1" applyBorder="1"/>
    <xf numFmtId="0" fontId="13" fillId="0" borderId="10" xfId="1" applyFont="1" applyBorder="1"/>
    <xf numFmtId="0" fontId="14" fillId="0" borderId="0" xfId="1" applyFont="1" applyAlignment="1">
      <alignment vertical="center" wrapText="1"/>
    </xf>
    <xf numFmtId="0" fontId="14" fillId="0" borderId="4" xfId="1" applyFont="1" applyBorder="1" applyAlignment="1">
      <alignment vertical="center" wrapText="1"/>
    </xf>
    <xf numFmtId="0" fontId="15" fillId="0" borderId="0" xfId="1" applyFont="1" applyAlignment="1">
      <alignment horizontal="center"/>
    </xf>
    <xf numFmtId="0" fontId="17" fillId="0" borderId="0" xfId="1" applyFont="1" applyAlignment="1">
      <alignment horizontal="center"/>
    </xf>
    <xf numFmtId="0" fontId="4" fillId="2" borderId="11" xfId="1" applyFill="1" applyBorder="1" applyAlignment="1">
      <alignment vertical="top" wrapText="1"/>
    </xf>
    <xf numFmtId="0" fontId="19" fillId="0" borderId="11" xfId="1" applyFont="1" applyBorder="1" applyAlignment="1">
      <alignment vertical="top" wrapText="1"/>
    </xf>
    <xf numFmtId="0" fontId="12" fillId="0" borderId="11" xfId="1" applyFont="1" applyBorder="1" applyAlignment="1">
      <alignment horizontal="center" vertical="center"/>
    </xf>
    <xf numFmtId="0" fontId="10" fillId="0" borderId="4" xfId="1" applyFont="1" applyBorder="1" applyAlignment="1">
      <alignment vertical="center" wrapText="1"/>
    </xf>
    <xf numFmtId="0" fontId="10" fillId="0" borderId="0" xfId="1" applyFont="1" applyAlignment="1">
      <alignment vertical="center" wrapText="1"/>
    </xf>
    <xf numFmtId="0" fontId="4" fillId="0" borderId="11" xfId="1" applyBorder="1" applyAlignment="1">
      <alignment wrapText="1"/>
    </xf>
    <xf numFmtId="0" fontId="9" fillId="0" borderId="11" xfId="1" applyFont="1" applyBorder="1"/>
    <xf numFmtId="0" fontId="2" fillId="0" borderId="0" xfId="1" applyFont="1"/>
    <xf numFmtId="0" fontId="7" fillId="0" borderId="11" xfId="1" applyFont="1" applyBorder="1" applyAlignment="1">
      <alignment horizontal="center" vertical="center"/>
    </xf>
    <xf numFmtId="0" fontId="17" fillId="0" borderId="0" xfId="1" applyFont="1" applyAlignment="1">
      <alignment horizontal="center" vertical="center"/>
    </xf>
    <xf numFmtId="0" fontId="4" fillId="0" borderId="0" xfId="1" applyAlignment="1">
      <alignment vertical="top"/>
    </xf>
    <xf numFmtId="0" fontId="4" fillId="0" borderId="7" xfId="1" applyBorder="1" applyAlignment="1">
      <alignment horizontal="left" vertical="top" wrapText="1"/>
    </xf>
    <xf numFmtId="0" fontId="4" fillId="0" borderId="0" xfId="1" applyAlignment="1">
      <alignment vertical="top" wrapText="1"/>
    </xf>
    <xf numFmtId="0" fontId="4" fillId="0" borderId="0" xfId="1" applyAlignment="1">
      <alignment horizontal="left"/>
    </xf>
    <xf numFmtId="0" fontId="4" fillId="0" borderId="9" xfId="1" applyBorder="1" applyAlignment="1">
      <alignment horizontal="left" wrapText="1"/>
    </xf>
    <xf numFmtId="0" fontId="4" fillId="0" borderId="10" xfId="1" applyBorder="1" applyAlignment="1">
      <alignment horizontal="left" wrapText="1"/>
    </xf>
    <xf numFmtId="0" fontId="4" fillId="0" borderId="11" xfId="1" applyBorder="1" applyAlignment="1">
      <alignment vertical="center"/>
    </xf>
    <xf numFmtId="0" fontId="4" fillId="0" borderId="0" xfId="1" applyAlignment="1">
      <alignment horizontal="left" vertical="center"/>
    </xf>
    <xf numFmtId="0" fontId="7" fillId="0" borderId="0" xfId="1" applyFont="1" applyAlignment="1">
      <alignment horizontal="left"/>
    </xf>
    <xf numFmtId="0" fontId="9" fillId="0" borderId="0" xfId="1" applyFont="1" applyAlignment="1">
      <alignment horizontal="left"/>
    </xf>
    <xf numFmtId="0" fontId="19" fillId="0" borderId="9" xfId="1" applyFont="1" applyBorder="1" applyAlignment="1">
      <alignment horizontal="left" vertical="top" wrapText="1"/>
    </xf>
    <xf numFmtId="0" fontId="19" fillId="0" borderId="10" xfId="1" applyFont="1" applyBorder="1" applyAlignment="1">
      <alignment horizontal="left" vertical="top" wrapText="1"/>
    </xf>
    <xf numFmtId="0" fontId="19" fillId="0" borderId="9" xfId="1" applyFont="1" applyBorder="1" applyAlignment="1">
      <alignment horizontal="left" wrapText="1"/>
    </xf>
    <xf numFmtId="0" fontId="19" fillId="0" borderId="10" xfId="1" applyFont="1" applyBorder="1" applyAlignment="1">
      <alignment horizontal="left" wrapText="1"/>
    </xf>
    <xf numFmtId="0" fontId="9" fillId="0" borderId="2" xfId="1" applyFont="1" applyBorder="1" applyAlignment="1">
      <alignment horizontal="left"/>
    </xf>
    <xf numFmtId="0" fontId="4" fillId="0" borderId="2" xfId="1" applyBorder="1" applyAlignment="1">
      <alignment horizontal="left"/>
    </xf>
    <xf numFmtId="0" fontId="7" fillId="0" borderId="2" xfId="1" applyFont="1" applyBorder="1" applyAlignment="1">
      <alignment horizontal="left"/>
    </xf>
    <xf numFmtId="0" fontId="9" fillId="0" borderId="3" xfId="1" applyFont="1" applyBorder="1" applyAlignment="1">
      <alignment horizontal="left"/>
    </xf>
    <xf numFmtId="0" fontId="20" fillId="0" borderId="0" xfId="1" applyFont="1" applyAlignment="1">
      <alignment horizontal="left" vertical="top"/>
    </xf>
    <xf numFmtId="0" fontId="9" fillId="0" borderId="5" xfId="1" applyFont="1" applyBorder="1"/>
    <xf numFmtId="0" fontId="21" fillId="0" borderId="0" xfId="1" applyFont="1"/>
    <xf numFmtId="9" fontId="9" fillId="0" borderId="0" xfId="2" applyFont="1" applyFill="1" applyBorder="1" applyAlignment="1"/>
    <xf numFmtId="0" fontId="23" fillId="0" borderId="0" xfId="1" applyFont="1"/>
    <xf numFmtId="0" fontId="4" fillId="3" borderId="9" xfId="1" applyFill="1" applyBorder="1"/>
    <xf numFmtId="0" fontId="4" fillId="0" borderId="4" xfId="1" applyBorder="1"/>
    <xf numFmtId="9" fontId="0" fillId="0" borderId="0" xfId="2" applyFont="1" applyAlignment="1"/>
    <xf numFmtId="0" fontId="4" fillId="0" borderId="7" xfId="1" applyBorder="1"/>
    <xf numFmtId="0" fontId="9" fillId="0" borderId="8" xfId="1" applyFont="1" applyBorder="1"/>
    <xf numFmtId="0" fontId="21" fillId="0" borderId="4" xfId="1" applyFont="1" applyBorder="1"/>
    <xf numFmtId="9" fontId="0" fillId="0" borderId="11" xfId="2" applyFont="1" applyBorder="1" applyAlignment="1"/>
    <xf numFmtId="0" fontId="24" fillId="0" borderId="4" xfId="1" applyFont="1" applyBorder="1"/>
    <xf numFmtId="0" fontId="4" fillId="0" borderId="2" xfId="1" applyBorder="1" applyAlignment="1">
      <alignment vertical="center" wrapText="1"/>
    </xf>
    <xf numFmtId="0" fontId="3" fillId="0" borderId="0" xfId="1" applyFont="1"/>
    <xf numFmtId="0" fontId="26" fillId="0" borderId="0" xfId="1" applyFont="1" applyAlignment="1">
      <alignment vertical="center"/>
    </xf>
    <xf numFmtId="0" fontId="27" fillId="0" borderId="0" xfId="1" applyFont="1" applyAlignment="1">
      <alignment vertical="center"/>
    </xf>
    <xf numFmtId="164" fontId="0" fillId="4" borderId="11" xfId="3" applyNumberFormat="1" applyFont="1" applyFill="1" applyBorder="1" applyAlignment="1">
      <alignment horizontal="left" vertical="top" wrapText="1"/>
    </xf>
    <xf numFmtId="9" fontId="0" fillId="0" borderId="9" xfId="2" applyFont="1" applyBorder="1" applyAlignment="1"/>
    <xf numFmtId="0" fontId="4" fillId="0" borderId="0" xfId="1" applyAlignment="1">
      <alignment horizontal="left" vertical="top" wrapText="1"/>
    </xf>
    <xf numFmtId="0" fontId="4" fillId="0" borderId="0" xfId="1" applyAlignment="1">
      <alignment horizontal="left" vertical="top" wrapText="1"/>
    </xf>
    <xf numFmtId="0" fontId="4" fillId="5" borderId="9" xfId="1" applyFill="1" applyBorder="1" applyAlignment="1">
      <alignment horizontal="center" vertical="top"/>
    </xf>
    <xf numFmtId="0" fontId="4" fillId="5" borderId="12" xfId="1" applyFill="1" applyBorder="1" applyAlignment="1">
      <alignment horizontal="center" vertical="top"/>
    </xf>
    <xf numFmtId="0" fontId="4" fillId="5" borderId="10" xfId="1" applyFill="1" applyBorder="1" applyAlignment="1">
      <alignment horizontal="center" vertical="top"/>
    </xf>
    <xf numFmtId="0" fontId="28" fillId="0" borderId="0" xfId="1" applyFont="1" applyAlignment="1">
      <alignment horizontal="left" vertical="top" wrapText="1"/>
    </xf>
    <xf numFmtId="0" fontId="19" fillId="0" borderId="9" xfId="1" applyFont="1" applyBorder="1"/>
    <xf numFmtId="0" fontId="19" fillId="0" borderId="10" xfId="1" applyFont="1" applyBorder="1"/>
    <xf numFmtId="9" fontId="0" fillId="3" borderId="9" xfId="2" applyFont="1" applyFill="1" applyBorder="1"/>
    <xf numFmtId="0" fontId="29" fillId="0" borderId="0" xfId="1" applyFont="1" applyAlignment="1">
      <alignment vertical="center"/>
    </xf>
    <xf numFmtId="0" fontId="29" fillId="0" borderId="0" xfId="1" applyFont="1" applyAlignment="1">
      <alignment horizontal="right" vertical="center"/>
    </xf>
    <xf numFmtId="0" fontId="13" fillId="0" borderId="9" xfId="1" applyFont="1" applyBorder="1" applyAlignment="1">
      <alignment vertical="top"/>
    </xf>
    <xf numFmtId="0" fontId="13" fillId="0" borderId="12" xfId="1" applyFont="1" applyBorder="1" applyAlignment="1">
      <alignment vertical="top"/>
    </xf>
    <xf numFmtId="0" fontId="13" fillId="0" borderId="10" xfId="1" applyFont="1" applyBorder="1" applyAlignment="1">
      <alignment vertical="top"/>
    </xf>
    <xf numFmtId="0" fontId="13" fillId="0" borderId="0" xfId="1" applyFont="1" applyAlignment="1">
      <alignment vertical="top"/>
    </xf>
    <xf numFmtId="0" fontId="13" fillId="0" borderId="11" xfId="1" applyFont="1" applyBorder="1" applyAlignment="1">
      <alignment horizontal="center" vertical="center" wrapText="1"/>
    </xf>
    <xf numFmtId="0" fontId="13" fillId="0" borderId="9" xfId="1" applyFont="1" applyBorder="1" applyAlignment="1">
      <alignment vertical="center" wrapText="1"/>
    </xf>
    <xf numFmtId="0" fontId="13" fillId="0" borderId="9" xfId="1" applyFont="1" applyBorder="1" applyAlignment="1">
      <alignment horizontal="center" vertical="center" wrapText="1"/>
    </xf>
    <xf numFmtId="0" fontId="13" fillId="0" borderId="0" xfId="1" applyFont="1" applyAlignment="1">
      <alignment horizontal="center" vertical="center" wrapText="1"/>
    </xf>
    <xf numFmtId="0" fontId="4" fillId="0" borderId="9" xfId="1" applyBorder="1" applyAlignment="1">
      <alignment vertical="top"/>
    </xf>
    <xf numFmtId="0" fontId="4" fillId="0" borderId="12" xfId="1" applyBorder="1" applyAlignment="1">
      <alignment vertical="top"/>
    </xf>
    <xf numFmtId="0" fontId="4" fillId="0" borderId="10" xfId="1" applyBorder="1" applyAlignment="1">
      <alignment vertical="top"/>
    </xf>
    <xf numFmtId="0" fontId="4" fillId="5" borderId="9" xfId="1" applyFill="1" applyBorder="1" applyAlignment="1">
      <alignment horizontal="center" vertical="top"/>
    </xf>
    <xf numFmtId="0" fontId="30" fillId="0" borderId="13" xfId="1" applyFont="1" applyBorder="1" applyAlignment="1">
      <alignment vertical="center"/>
    </xf>
    <xf numFmtId="0" fontId="30" fillId="0" borderId="14" xfId="1" applyFont="1" applyBorder="1" applyAlignment="1">
      <alignment vertical="center"/>
    </xf>
    <xf numFmtId="0" fontId="4" fillId="0" borderId="14" xfId="1" applyBorder="1" applyAlignment="1">
      <alignment horizontal="left" vertical="top"/>
    </xf>
    <xf numFmtId="0" fontId="4" fillId="0" borderId="15" xfId="1" applyBorder="1" applyAlignment="1">
      <alignment horizontal="left" vertical="top"/>
    </xf>
    <xf numFmtId="165" fontId="13" fillId="0" borderId="11" xfId="1" applyNumberFormat="1" applyFont="1" applyBorder="1" applyAlignment="1">
      <alignment horizontal="center" vertical="center"/>
    </xf>
    <xf numFmtId="166" fontId="13" fillId="0" borderId="9" xfId="1" applyNumberFormat="1" applyFont="1" applyBorder="1" applyAlignment="1">
      <alignment horizontal="center" vertical="center"/>
    </xf>
    <xf numFmtId="166" fontId="13" fillId="0" borderId="11" xfId="1" applyNumberFormat="1" applyFont="1" applyBorder="1" applyAlignment="1">
      <alignment horizontal="center" vertical="center"/>
    </xf>
    <xf numFmtId="166" fontId="13" fillId="0" borderId="0" xfId="1" applyNumberFormat="1" applyFont="1" applyAlignment="1">
      <alignment horizontal="center" vertical="center"/>
    </xf>
    <xf numFmtId="0" fontId="4" fillId="0" borderId="9" xfId="1" applyBorder="1" applyAlignment="1">
      <alignment horizontal="center" vertical="top" wrapText="1"/>
    </xf>
    <xf numFmtId="0" fontId="4" fillId="0" borderId="12" xfId="1" applyBorder="1" applyAlignment="1">
      <alignment horizontal="center" vertical="top" wrapText="1"/>
    </xf>
    <xf numFmtId="0" fontId="4" fillId="0" borderId="10" xfId="1" applyBorder="1" applyAlignment="1">
      <alignment horizontal="center" vertical="top" wrapText="1"/>
    </xf>
    <xf numFmtId="0" fontId="31" fillId="0" borderId="13" xfId="1" applyFont="1" applyBorder="1" applyAlignment="1">
      <alignment vertical="top" wrapText="1"/>
    </xf>
    <xf numFmtId="0" fontId="31" fillId="0" borderId="14" xfId="1" applyFont="1" applyBorder="1" applyAlignment="1">
      <alignment vertical="top" wrapText="1"/>
    </xf>
    <xf numFmtId="0" fontId="31" fillId="0" borderId="15" xfId="1" applyFont="1" applyBorder="1" applyAlignment="1">
      <alignment vertical="top" wrapText="1"/>
    </xf>
    <xf numFmtId="165" fontId="13" fillId="0" borderId="16" xfId="1" applyNumberFormat="1" applyFont="1" applyBorder="1" applyAlignment="1">
      <alignment horizontal="center" vertical="center"/>
    </xf>
    <xf numFmtId="0" fontId="13" fillId="0" borderId="0" xfId="1" applyFont="1" applyAlignment="1">
      <alignment vertical="center"/>
    </xf>
    <xf numFmtId="0" fontId="4" fillId="5" borderId="16" xfId="1" applyFill="1" applyBorder="1" applyAlignment="1">
      <alignment horizontal="center" vertical="top"/>
    </xf>
    <xf numFmtId="0" fontId="30" fillId="0" borderId="4" xfId="1" applyFont="1" applyBorder="1" applyAlignment="1">
      <alignment vertical="center"/>
    </xf>
    <xf numFmtId="0" fontId="30" fillId="0" borderId="0" xfId="1" applyFont="1" applyAlignment="1">
      <alignment vertical="center"/>
    </xf>
    <xf numFmtId="0" fontId="4" fillId="0" borderId="12" xfId="1" applyBorder="1"/>
    <xf numFmtId="0" fontId="20" fillId="0" borderId="10" xfId="1" applyFont="1" applyBorder="1" applyAlignment="1">
      <alignment horizontal="right" vertical="center"/>
    </xf>
    <xf numFmtId="0" fontId="4" fillId="5" borderId="2" xfId="1" applyFill="1" applyBorder="1" applyAlignment="1">
      <alignment horizontal="center" vertical="top"/>
    </xf>
    <xf numFmtId="0" fontId="20" fillId="0" borderId="0" xfId="1" applyFont="1" applyAlignment="1">
      <alignment horizontal="right" vertical="center"/>
    </xf>
    <xf numFmtId="0" fontId="32" fillId="0" borderId="2" xfId="1" applyFont="1" applyBorder="1" applyAlignment="1">
      <alignment horizontal="center" vertical="center"/>
    </xf>
    <xf numFmtId="0" fontId="32" fillId="0" borderId="7" xfId="1" applyFont="1" applyBorder="1" applyAlignment="1">
      <alignment horizontal="center" vertical="center"/>
    </xf>
    <xf numFmtId="0" fontId="30" fillId="0" borderId="7" xfId="1" applyFont="1" applyBorder="1" applyAlignment="1">
      <alignment horizontal="center" vertical="center"/>
    </xf>
    <xf numFmtId="0" fontId="4" fillId="0" borderId="7" xfId="1" applyBorder="1" applyAlignment="1">
      <alignment horizontal="left" vertical="top"/>
    </xf>
    <xf numFmtId="0" fontId="20" fillId="0" borderId="7" xfId="1" applyFont="1" applyBorder="1" applyAlignment="1">
      <alignment horizontal="left" vertical="top"/>
    </xf>
    <xf numFmtId="0" fontId="32" fillId="0" borderId="0" xfId="1" applyFont="1" applyAlignment="1">
      <alignment horizontal="center" vertical="center"/>
    </xf>
    <xf numFmtId="0" fontId="30" fillId="0" borderId="0" xfId="1" applyFont="1" applyAlignment="1">
      <alignment horizontal="center" vertical="center"/>
    </xf>
    <xf numFmtId="0" fontId="21" fillId="0" borderId="0" xfId="4" applyFont="1" applyAlignment="1">
      <alignment vertical="center"/>
    </xf>
    <xf numFmtId="0" fontId="1" fillId="0" borderId="0" xfId="4"/>
    <xf numFmtId="0" fontId="33" fillId="6" borderId="11" xfId="4" applyFont="1" applyFill="1" applyBorder="1" applyAlignment="1">
      <alignment horizontal="left" vertical="top" wrapText="1"/>
    </xf>
    <xf numFmtId="0" fontId="33" fillId="6" borderId="16" xfId="4" applyFont="1" applyFill="1" applyBorder="1" applyAlignment="1">
      <alignment horizontal="center" vertical="top" wrapText="1"/>
    </xf>
    <xf numFmtId="0" fontId="34" fillId="6" borderId="1" xfId="4" applyFont="1" applyFill="1" applyBorder="1" applyAlignment="1">
      <alignment horizontal="center" vertical="top" wrapText="1"/>
    </xf>
    <xf numFmtId="0" fontId="34" fillId="6" borderId="3" xfId="4" applyFont="1" applyFill="1" applyBorder="1" applyAlignment="1">
      <alignment horizontal="center" vertical="top" wrapText="1"/>
    </xf>
    <xf numFmtId="0" fontId="34" fillId="6" borderId="16" xfId="4" applyFont="1" applyFill="1" applyBorder="1" applyAlignment="1">
      <alignment horizontal="center" vertical="center" wrapText="1"/>
    </xf>
    <xf numFmtId="0" fontId="33" fillId="6" borderId="16" xfId="4" applyFont="1" applyFill="1" applyBorder="1" applyAlignment="1">
      <alignment horizontal="center" vertical="center" wrapText="1"/>
    </xf>
    <xf numFmtId="0" fontId="33" fillId="6" borderId="11" xfId="4" applyFont="1" applyFill="1" applyBorder="1" applyAlignment="1">
      <alignment horizontal="center" vertical="center" wrapText="1"/>
    </xf>
    <xf numFmtId="0" fontId="33" fillId="6" borderId="11" xfId="4" applyFont="1" applyFill="1" applyBorder="1" applyAlignment="1">
      <alignment horizontal="center" vertical="top" wrapText="1"/>
    </xf>
    <xf numFmtId="0" fontId="33" fillId="6" borderId="17" xfId="4" applyFont="1" applyFill="1" applyBorder="1" applyAlignment="1">
      <alignment horizontal="center" vertical="top" wrapText="1"/>
    </xf>
    <xf numFmtId="0" fontId="34" fillId="6" borderId="4" xfId="4" applyFont="1" applyFill="1" applyBorder="1" applyAlignment="1">
      <alignment horizontal="center" vertical="top" wrapText="1"/>
    </xf>
    <xf numFmtId="0" fontId="34" fillId="6" borderId="5" xfId="4" applyFont="1" applyFill="1" applyBorder="1" applyAlignment="1">
      <alignment horizontal="center" vertical="top" wrapText="1"/>
    </xf>
    <xf numFmtId="0" fontId="34" fillId="6" borderId="17" xfId="4" applyFont="1" applyFill="1" applyBorder="1" applyAlignment="1">
      <alignment horizontal="center" vertical="center" wrapText="1"/>
    </xf>
    <xf numFmtId="0" fontId="33" fillId="6" borderId="17" xfId="4" applyFont="1" applyFill="1" applyBorder="1" applyAlignment="1">
      <alignment horizontal="center" vertical="center" wrapText="1"/>
    </xf>
    <xf numFmtId="0" fontId="34" fillId="6" borderId="6" xfId="4" applyFont="1" applyFill="1" applyBorder="1" applyAlignment="1">
      <alignment horizontal="center" vertical="top" wrapText="1"/>
    </xf>
    <xf numFmtId="0" fontId="34" fillId="6" borderId="8" xfId="4" applyFont="1" applyFill="1" applyBorder="1" applyAlignment="1">
      <alignment horizontal="center" vertical="top" wrapText="1"/>
    </xf>
    <xf numFmtId="0" fontId="34" fillId="6" borderId="18" xfId="4" applyFont="1" applyFill="1" applyBorder="1" applyAlignment="1">
      <alignment horizontal="center" vertical="center" wrapText="1"/>
    </xf>
    <xf numFmtId="0" fontId="33" fillId="6" borderId="18" xfId="4" applyFont="1" applyFill="1" applyBorder="1" applyAlignment="1">
      <alignment horizontal="center" vertical="center" wrapText="1"/>
    </xf>
    <xf numFmtId="0" fontId="35" fillId="6" borderId="11" xfId="4" applyFont="1" applyFill="1" applyBorder="1" applyAlignment="1">
      <alignment horizontal="center" vertical="center" wrapText="1"/>
    </xf>
    <xf numFmtId="0" fontId="33" fillId="6" borderId="18" xfId="4" applyFont="1" applyFill="1" applyBorder="1" applyAlignment="1">
      <alignment horizontal="center" vertical="top" wrapText="1"/>
    </xf>
    <xf numFmtId="0" fontId="36" fillId="6" borderId="11" xfId="4" applyFont="1" applyFill="1" applyBorder="1" applyAlignment="1">
      <alignment horizontal="center" vertical="center" wrapText="1"/>
    </xf>
    <xf numFmtId="0" fontId="36" fillId="6" borderId="16" xfId="4" applyFont="1" applyFill="1" applyBorder="1" applyAlignment="1">
      <alignment horizontal="center" vertical="center" wrapText="1"/>
    </xf>
    <xf numFmtId="0" fontId="24" fillId="6" borderId="11" xfId="4" applyFont="1" applyFill="1" applyBorder="1" applyAlignment="1">
      <alignment horizontal="center" vertical="center" wrapText="1"/>
    </xf>
    <xf numFmtId="0" fontId="24" fillId="6" borderId="16" xfId="4" applyFont="1" applyFill="1" applyBorder="1" applyAlignment="1">
      <alignment horizontal="center" vertical="center" wrapText="1"/>
    </xf>
    <xf numFmtId="0" fontId="35" fillId="6" borderId="11" xfId="4" applyFont="1" applyFill="1" applyBorder="1" applyAlignment="1">
      <alignment horizontal="center" vertical="center" wrapText="1"/>
    </xf>
    <xf numFmtId="0" fontId="36" fillId="6" borderId="18" xfId="4" applyFont="1" applyFill="1" applyBorder="1" applyAlignment="1">
      <alignment horizontal="center" vertical="center" wrapText="1"/>
    </xf>
    <xf numFmtId="0" fontId="24" fillId="6" borderId="18" xfId="4" applyFont="1" applyFill="1" applyBorder="1" applyAlignment="1">
      <alignment horizontal="center" vertical="center" wrapText="1"/>
    </xf>
    <xf numFmtId="0" fontId="37" fillId="0" borderId="11" xfId="4" applyFont="1" applyBorder="1" applyAlignment="1">
      <alignment horizontal="left" vertical="center" wrapText="1"/>
    </xf>
    <xf numFmtId="0" fontId="37" fillId="0" borderId="11" xfId="4" applyFont="1" applyBorder="1" applyAlignment="1">
      <alignment horizontal="center" vertical="center" wrapText="1"/>
    </xf>
    <xf numFmtId="0" fontId="37" fillId="0" borderId="9" xfId="4" applyFont="1" applyBorder="1" applyAlignment="1">
      <alignment horizontal="center" vertical="center" wrapText="1"/>
    </xf>
    <xf numFmtId="0" fontId="37" fillId="0" borderId="10" xfId="4" applyFont="1" applyBorder="1" applyAlignment="1">
      <alignment horizontal="center" vertical="center" wrapText="1"/>
    </xf>
    <xf numFmtId="0" fontId="37" fillId="0" borderId="11" xfId="4" applyFont="1" applyBorder="1" applyAlignment="1">
      <alignment vertical="center" wrapText="1"/>
    </xf>
    <xf numFmtId="0" fontId="37" fillId="3" borderId="11" xfId="4" applyFont="1" applyFill="1" applyBorder="1" applyAlignment="1">
      <alignment horizontal="center" vertical="center" wrapText="1"/>
    </xf>
    <xf numFmtId="0" fontId="35" fillId="0" borderId="1" xfId="4" applyFont="1" applyBorder="1" applyAlignment="1">
      <alignment horizontal="right" vertical="center" wrapText="1"/>
    </xf>
    <xf numFmtId="0" fontId="35" fillId="0" borderId="2" xfId="4" applyFont="1" applyBorder="1" applyAlignment="1">
      <alignment horizontal="right" vertical="center" wrapText="1"/>
    </xf>
    <xf numFmtId="0" fontId="35" fillId="0" borderId="3" xfId="4" applyFont="1" applyBorder="1" applyAlignment="1">
      <alignment horizontal="right" vertical="center" wrapText="1"/>
    </xf>
    <xf numFmtId="167" fontId="24" fillId="0" borderId="11" xfId="5" applyNumberFormat="1" applyFont="1" applyBorder="1" applyAlignment="1">
      <alignment vertical="center" wrapText="1"/>
    </xf>
    <xf numFmtId="0" fontId="35" fillId="0" borderId="11" xfId="4" applyFont="1" applyBorder="1" applyAlignment="1">
      <alignment horizontal="right" vertical="center" wrapText="1"/>
    </xf>
    <xf numFmtId="9" fontId="13" fillId="0" borderId="11" xfId="2" applyFont="1" applyBorder="1" applyAlignment="1">
      <alignment horizontal="right" vertical="top"/>
    </xf>
    <xf numFmtId="0" fontId="37" fillId="0" borderId="11" xfId="4" applyFont="1" applyBorder="1" applyAlignment="1">
      <alignment vertical="center"/>
    </xf>
    <xf numFmtId="0" fontId="1" fillId="0" borderId="11" xfId="4" applyBorder="1"/>
    <xf numFmtId="0" fontId="4" fillId="0" borderId="19" xfId="1" applyBorder="1"/>
    <xf numFmtId="0" fontId="4" fillId="0" borderId="20" xfId="1" applyBorder="1"/>
    <xf numFmtId="0" fontId="39" fillId="0" borderId="20" xfId="1" applyFont="1" applyBorder="1"/>
    <xf numFmtId="0" fontId="40" fillId="0" borderId="21" xfId="1" applyFont="1" applyBorder="1"/>
    <xf numFmtId="0" fontId="13" fillId="0" borderId="0" xfId="1" applyFont="1" applyAlignment="1">
      <alignment horizontal="right"/>
    </xf>
    <xf numFmtId="0" fontId="42" fillId="0" borderId="0" xfId="6" applyFont="1" applyAlignment="1">
      <alignment horizontal="left"/>
    </xf>
    <xf numFmtId="0" fontId="40" fillId="0" borderId="19" xfId="1" applyFont="1" applyBorder="1"/>
    <xf numFmtId="0" fontId="40" fillId="0" borderId="20" xfId="1" applyFont="1" applyBorder="1"/>
    <xf numFmtId="168" fontId="40" fillId="0" borderId="20" xfId="1" applyNumberFormat="1" applyFont="1" applyBorder="1" applyAlignment="1">
      <alignment horizontal="center"/>
    </xf>
    <xf numFmtId="168" fontId="40" fillId="0" borderId="21" xfId="1" applyNumberFormat="1" applyFont="1" applyBorder="1" applyAlignment="1">
      <alignment horizontal="center"/>
    </xf>
    <xf numFmtId="0" fontId="39" fillId="0" borderId="0" xfId="1" applyFont="1"/>
    <xf numFmtId="0" fontId="43" fillId="0" borderId="0" xfId="1" applyFont="1" applyAlignment="1">
      <alignment horizontal="left" vertical="top"/>
    </xf>
    <xf numFmtId="0" fontId="40" fillId="0" borderId="22" xfId="1" applyFont="1" applyBorder="1"/>
    <xf numFmtId="169" fontId="44" fillId="0" borderId="23" xfId="4" applyNumberFormat="1" applyFont="1" applyBorder="1" applyAlignment="1">
      <alignment horizontal="center" vertical="top"/>
    </xf>
    <xf numFmtId="169" fontId="44" fillId="0" borderId="24" xfId="4" applyNumberFormat="1" applyFont="1" applyBorder="1" applyAlignment="1">
      <alignment horizontal="center" vertical="top"/>
    </xf>
    <xf numFmtId="169" fontId="44" fillId="0" borderId="25" xfId="4" applyNumberFormat="1" applyFont="1" applyBorder="1" applyAlignment="1">
      <alignment horizontal="center" vertical="top"/>
    </xf>
    <xf numFmtId="0" fontId="39" fillId="0" borderId="26" xfId="1" applyFont="1" applyBorder="1"/>
    <xf numFmtId="169" fontId="44" fillId="0" borderId="27" xfId="4" applyNumberFormat="1" applyFont="1" applyBorder="1" applyAlignment="1">
      <alignment horizontal="left" vertical="top"/>
    </xf>
    <xf numFmtId="0" fontId="40" fillId="0" borderId="28" xfId="1" applyFont="1" applyBorder="1"/>
    <xf numFmtId="0" fontId="40" fillId="0" borderId="29" xfId="1" applyFont="1" applyBorder="1"/>
    <xf numFmtId="0" fontId="39" fillId="0" borderId="30" xfId="1" applyFont="1" applyBorder="1"/>
    <xf numFmtId="0" fontId="40" fillId="0" borderId="30" xfId="1" applyFont="1" applyBorder="1"/>
    <xf numFmtId="168" fontId="40" fillId="0" borderId="30" xfId="1" applyNumberFormat="1" applyFont="1" applyBorder="1" applyAlignment="1">
      <alignment horizontal="center"/>
    </xf>
    <xf numFmtId="168" fontId="40" fillId="0" borderId="31" xfId="1" applyNumberFormat="1" applyFont="1" applyBorder="1" applyAlignment="1">
      <alignment horizontal="center"/>
    </xf>
    <xf numFmtId="0" fontId="40" fillId="0" borderId="32" xfId="1" applyFont="1" applyBorder="1"/>
    <xf numFmtId="0" fontId="40" fillId="0" borderId="32" xfId="1" applyFont="1" applyBorder="1" applyAlignment="1">
      <alignment horizontal="left" vertical="top"/>
    </xf>
    <xf numFmtId="0" fontId="40" fillId="0" borderId="33" xfId="1" applyFont="1" applyBorder="1" applyAlignment="1">
      <alignment horizontal="left" vertical="top"/>
    </xf>
    <xf numFmtId="170" fontId="40" fillId="0" borderId="34" xfId="1" applyNumberFormat="1" applyFont="1" applyBorder="1" applyAlignment="1">
      <alignment horizontal="left" vertical="top"/>
    </xf>
    <xf numFmtId="171" fontId="40" fillId="0" borderId="35" xfId="1" applyNumberFormat="1" applyFont="1" applyBorder="1" applyAlignment="1">
      <alignment horizontal="left" vertical="top"/>
    </xf>
    <xf numFmtId="0" fontId="19" fillId="0" borderId="36" xfId="1" applyFont="1" applyBorder="1" applyAlignment="1">
      <alignment horizontal="left" vertical="top"/>
    </xf>
    <xf numFmtId="0" fontId="4" fillId="0" borderId="37" xfId="1" applyBorder="1" applyAlignment="1">
      <alignment horizontal="left" vertical="top"/>
    </xf>
    <xf numFmtId="0" fontId="4" fillId="0" borderId="37" xfId="1" applyBorder="1"/>
    <xf numFmtId="0" fontId="4" fillId="0" borderId="38" xfId="1" applyBorder="1"/>
    <xf numFmtId="0" fontId="29" fillId="0" borderId="36" xfId="1" applyFont="1" applyBorder="1" applyAlignment="1">
      <alignment horizontal="left" vertical="top" wrapText="1"/>
    </xf>
    <xf numFmtId="0" fontId="29" fillId="0" borderId="38" xfId="1" applyFont="1" applyBorder="1" applyAlignment="1">
      <alignment horizontal="left" vertical="top" wrapText="1"/>
    </xf>
    <xf numFmtId="0" fontId="4" fillId="0" borderId="36" xfId="1" applyBorder="1"/>
    <xf numFmtId="0" fontId="45" fillId="0" borderId="39" xfId="1" applyFont="1" applyBorder="1" applyAlignment="1">
      <alignment horizontal="center" vertical="center"/>
    </xf>
    <xf numFmtId="0" fontId="45" fillId="0" borderId="40" xfId="1" applyFont="1" applyBorder="1" applyAlignment="1">
      <alignment horizontal="center" vertical="center"/>
    </xf>
    <xf numFmtId="0" fontId="10" fillId="0" borderId="36" xfId="1" applyFont="1" applyBorder="1" applyAlignment="1">
      <alignment horizontal="left" vertical="center" wrapText="1"/>
    </xf>
    <xf numFmtId="0" fontId="10" fillId="0" borderId="38" xfId="1" applyFont="1" applyBorder="1" applyAlignment="1">
      <alignment horizontal="left" vertical="center" wrapText="1"/>
    </xf>
    <xf numFmtId="0" fontId="13" fillId="0" borderId="0" xfId="1" applyFont="1" applyAlignment="1">
      <alignment horizontal="left"/>
    </xf>
    <xf numFmtId="0" fontId="13" fillId="0" borderId="10" xfId="7" applyFont="1" applyBorder="1" applyAlignment="1">
      <alignment horizontal="left" vertical="top" wrapText="1"/>
    </xf>
    <xf numFmtId="0" fontId="13" fillId="0" borderId="11" xfId="7" applyFont="1" applyBorder="1" applyAlignment="1">
      <alignment horizontal="left" vertical="top" wrapText="1"/>
    </xf>
    <xf numFmtId="0" fontId="1" fillId="3" borderId="11" xfId="7" applyFill="1" applyBorder="1" applyAlignment="1">
      <alignment horizontal="right" vertical="top"/>
    </xf>
    <xf numFmtId="0" fontId="46" fillId="0" borderId="11" xfId="7" applyFont="1" applyBorder="1" applyAlignment="1">
      <alignment horizontal="left" vertical="top"/>
    </xf>
    <xf numFmtId="0" fontId="39" fillId="0" borderId="0" xfId="1" applyFont="1" applyAlignment="1">
      <alignment horizontal="left" vertical="top" wrapText="1"/>
    </xf>
    <xf numFmtId="0" fontId="33" fillId="0" borderId="41" xfId="1" applyFont="1" applyBorder="1" applyAlignment="1">
      <alignment horizontal="left" vertical="center"/>
    </xf>
    <xf numFmtId="0" fontId="33" fillId="0" borderId="39" xfId="1" applyFont="1" applyBorder="1" applyAlignment="1">
      <alignment horizontal="center" vertical="center"/>
    </xf>
    <xf numFmtId="0" fontId="33" fillId="0" borderId="40" xfId="1" applyFont="1" applyBorder="1" applyAlignment="1">
      <alignment horizontal="center" vertical="center"/>
    </xf>
    <xf numFmtId="0" fontId="4" fillId="0" borderId="1" xfId="1" applyBorder="1" applyAlignment="1">
      <alignment horizontal="left" vertical="center"/>
    </xf>
    <xf numFmtId="0" fontId="39" fillId="3" borderId="2" xfId="1" applyFont="1" applyFill="1" applyBorder="1" applyAlignment="1">
      <alignment horizontal="center" vertical="center"/>
    </xf>
    <xf numFmtId="0" fontId="4" fillId="0" borderId="2" xfId="1" applyBorder="1" applyAlignment="1">
      <alignment vertical="center"/>
    </xf>
    <xf numFmtId="0" fontId="4" fillId="0" borderId="2" xfId="1" applyBorder="1"/>
    <xf numFmtId="0" fontId="4" fillId="0" borderId="3" xfId="1" applyBorder="1"/>
    <xf numFmtId="0" fontId="41" fillId="0" borderId="4" xfId="6" applyBorder="1" applyAlignment="1">
      <alignment vertical="top" wrapText="1"/>
    </xf>
    <xf numFmtId="0" fontId="49" fillId="7" borderId="42" xfId="1" applyFont="1" applyFill="1" applyBorder="1" applyAlignment="1">
      <alignment horizontal="left" vertical="center" wrapText="1"/>
    </xf>
    <xf numFmtId="0" fontId="49" fillId="7" borderId="43" xfId="1" applyFont="1" applyFill="1" applyBorder="1" applyAlignment="1">
      <alignment horizontal="left" vertical="center"/>
    </xf>
    <xf numFmtId="0" fontId="4" fillId="0" borderId="44" xfId="1" applyBorder="1" applyAlignment="1">
      <alignment horizontal="left" vertical="top"/>
    </xf>
    <xf numFmtId="0" fontId="4" fillId="0" borderId="45" xfId="1" applyBorder="1" applyAlignment="1">
      <alignment horizontal="left" vertical="top" wrapText="1"/>
    </xf>
    <xf numFmtId="0" fontId="6" fillId="0" borderId="44" xfId="1" applyFont="1" applyBorder="1" applyAlignment="1">
      <alignment horizontal="left" vertical="top" wrapText="1"/>
    </xf>
    <xf numFmtId="0" fontId="6" fillId="0" borderId="0" xfId="1" applyFont="1" applyAlignment="1">
      <alignment horizontal="left" vertical="top" wrapText="1"/>
    </xf>
    <xf numFmtId="0" fontId="50" fillId="0" borderId="44" xfId="1" applyFont="1" applyBorder="1" applyAlignment="1">
      <alignment horizontal="left" vertical="top"/>
    </xf>
    <xf numFmtId="0" fontId="4" fillId="0" borderId="10" xfId="1" applyBorder="1" applyAlignment="1">
      <alignment horizontal="left" vertical="top" wrapText="1"/>
    </xf>
    <xf numFmtId="0" fontId="4" fillId="0" borderId="11" xfId="1" applyBorder="1" applyAlignment="1">
      <alignment horizontal="left" vertical="top"/>
    </xf>
    <xf numFmtId="172" fontId="0" fillId="3" borderId="11" xfId="3" applyNumberFormat="1" applyFont="1" applyFill="1" applyBorder="1" applyAlignment="1">
      <alignment horizontal="right" vertical="center" wrapText="1"/>
    </xf>
    <xf numFmtId="173" fontId="51" fillId="0" borderId="11" xfId="1" applyNumberFormat="1" applyFont="1" applyBorder="1" applyAlignment="1">
      <alignment horizontal="left" vertical="center" wrapText="1"/>
    </xf>
    <xf numFmtId="173" fontId="51" fillId="0" borderId="46" xfId="1" applyNumberFormat="1" applyFont="1" applyBorder="1" applyAlignment="1">
      <alignment horizontal="left" vertical="center" wrapText="1"/>
    </xf>
    <xf numFmtId="0" fontId="19" fillId="0" borderId="44" xfId="1" applyFont="1" applyBorder="1" applyAlignment="1">
      <alignment horizontal="left" vertical="top" wrapText="1"/>
    </xf>
    <xf numFmtId="174" fontId="0" fillId="3" borderId="46" xfId="3" applyNumberFormat="1" applyFont="1" applyFill="1" applyBorder="1" applyAlignment="1">
      <alignment horizontal="right" vertical="center" wrapText="1"/>
    </xf>
    <xf numFmtId="0" fontId="52" fillId="0" borderId="44" xfId="1" applyFont="1" applyBorder="1" applyAlignment="1">
      <alignment horizontal="left" vertical="top" wrapText="1"/>
    </xf>
    <xf numFmtId="0" fontId="52" fillId="0" borderId="0" xfId="1" applyFont="1" applyAlignment="1">
      <alignment horizontal="left" vertical="top" wrapText="1"/>
    </xf>
    <xf numFmtId="0" fontId="41" fillId="0" borderId="0" xfId="6" applyBorder="1"/>
    <xf numFmtId="0" fontId="24" fillId="8" borderId="47" xfId="4" applyFont="1" applyFill="1" applyBorder="1" applyAlignment="1">
      <alignment vertical="center" wrapText="1"/>
    </xf>
    <xf numFmtId="0" fontId="24" fillId="8" borderId="9" xfId="4" applyFont="1" applyFill="1" applyBorder="1" applyAlignment="1">
      <alignment vertical="center"/>
    </xf>
    <xf numFmtId="0" fontId="24" fillId="8" borderId="48" xfId="4" applyFont="1" applyFill="1" applyBorder="1" applyAlignment="1">
      <alignment vertical="center"/>
    </xf>
    <xf numFmtId="0" fontId="19" fillId="0" borderId="4" xfId="1" applyFont="1" applyBorder="1" applyAlignment="1">
      <alignment horizontal="left" vertical="center"/>
    </xf>
    <xf numFmtId="0" fontId="39" fillId="3" borderId="0" xfId="1" applyFont="1" applyFill="1" applyAlignment="1">
      <alignment horizontal="center" vertical="center"/>
    </xf>
    <xf numFmtId="0" fontId="4" fillId="0" borderId="5" xfId="1" applyBorder="1"/>
    <xf numFmtId="0" fontId="41" fillId="0" borderId="17" xfId="6" applyBorder="1" applyAlignment="1">
      <alignment horizontal="left" vertical="top" wrapText="1"/>
    </xf>
    <xf numFmtId="0" fontId="53" fillId="9" borderId="4" xfId="1" applyFont="1" applyFill="1" applyBorder="1" applyAlignment="1">
      <alignment horizontal="left" vertical="center" wrapText="1"/>
    </xf>
    <xf numFmtId="0" fontId="53" fillId="9" borderId="5" xfId="1" applyFont="1" applyFill="1" applyBorder="1" applyAlignment="1">
      <alignment horizontal="left" vertical="center" wrapText="1"/>
    </xf>
    <xf numFmtId="0" fontId="54" fillId="0" borderId="44" xfId="4" applyFont="1" applyBorder="1" applyAlignment="1">
      <alignment horizontal="right" vertical="top"/>
    </xf>
    <xf numFmtId="0" fontId="4" fillId="0" borderId="44" xfId="1" applyBorder="1" applyAlignment="1">
      <alignment vertical="top" wrapText="1"/>
    </xf>
    <xf numFmtId="175" fontId="0" fillId="0" borderId="9" xfId="3" applyNumberFormat="1" applyFont="1" applyFill="1" applyBorder="1" applyAlignment="1">
      <alignment horizontal="right" vertical="center" wrapText="1"/>
    </xf>
    <xf numFmtId="9" fontId="0" fillId="0" borderId="44" xfId="2" applyFont="1" applyBorder="1"/>
    <xf numFmtId="0" fontId="20" fillId="0" borderId="10" xfId="1" applyFont="1" applyBorder="1" applyAlignment="1">
      <alignment horizontal="left" vertical="top" wrapText="1"/>
    </xf>
    <xf numFmtId="0" fontId="20" fillId="0" borderId="11" xfId="1" applyFont="1" applyBorder="1" applyAlignment="1">
      <alignment horizontal="left" vertical="top"/>
    </xf>
    <xf numFmtId="174" fontId="0" fillId="3" borderId="11" xfId="3" applyNumberFormat="1" applyFont="1" applyFill="1" applyBorder="1" applyAlignment="1">
      <alignment horizontal="right" vertical="center" wrapText="1"/>
    </xf>
    <xf numFmtId="0" fontId="4" fillId="0" borderId="11" xfId="1" applyBorder="1" applyAlignment="1">
      <alignment horizontal="center" vertical="center"/>
    </xf>
    <xf numFmtId="0" fontId="24" fillId="10" borderId="47" xfId="4" applyFont="1" applyFill="1" applyBorder="1" applyAlignment="1">
      <alignment vertical="center" wrapText="1"/>
    </xf>
    <xf numFmtId="0" fontId="24" fillId="10" borderId="9" xfId="4" applyFont="1" applyFill="1" applyBorder="1" applyAlignment="1">
      <alignment vertical="center"/>
    </xf>
    <xf numFmtId="0" fontId="24" fillId="10" borderId="48" xfId="4" applyFont="1" applyFill="1" applyBorder="1" applyAlignment="1">
      <alignment vertical="center"/>
    </xf>
    <xf numFmtId="0" fontId="4" fillId="0" borderId="4" xfId="1" applyBorder="1" applyAlignment="1">
      <alignment horizontal="left" vertical="top" wrapText="1"/>
    </xf>
    <xf numFmtId="0" fontId="4" fillId="0" borderId="5" xfId="1" applyBorder="1" applyAlignment="1">
      <alignment horizontal="left" vertical="top"/>
    </xf>
    <xf numFmtId="0" fontId="53" fillId="0" borderId="4" xfId="1" applyFont="1" applyBorder="1" applyAlignment="1">
      <alignment horizontal="left" vertical="center" wrapText="1"/>
    </xf>
    <xf numFmtId="0" fontId="53" fillId="0" borderId="5" xfId="1" applyFont="1" applyBorder="1" applyAlignment="1">
      <alignment horizontal="left" vertical="center" wrapText="1"/>
    </xf>
    <xf numFmtId="0" fontId="4" fillId="11" borderId="44" xfId="1" applyFill="1" applyBorder="1" applyAlignment="1">
      <alignment horizontal="left" vertical="top"/>
    </xf>
    <xf numFmtId="0" fontId="19" fillId="0" borderId="49" xfId="1" applyFont="1" applyBorder="1" applyAlignment="1">
      <alignment horizontal="left" vertical="top" wrapText="1"/>
    </xf>
    <xf numFmtId="176" fontId="0" fillId="3" borderId="50" xfId="3" applyNumberFormat="1" applyFont="1" applyFill="1" applyBorder="1" applyAlignment="1">
      <alignment horizontal="right" vertical="center" wrapText="1"/>
    </xf>
    <xf numFmtId="0" fontId="4" fillId="0" borderId="44" xfId="1" applyBorder="1"/>
    <xf numFmtId="0" fontId="51" fillId="0" borderId="11" xfId="1" applyFont="1" applyBorder="1" applyAlignment="1">
      <alignment horizontal="left" vertical="center" wrapText="1"/>
    </xf>
    <xf numFmtId="0" fontId="51" fillId="0" borderId="46" xfId="1" applyFont="1" applyBorder="1" applyAlignment="1">
      <alignment horizontal="left" vertical="center" wrapText="1"/>
    </xf>
    <xf numFmtId="174" fontId="0" fillId="12" borderId="51" xfId="3" applyNumberFormat="1" applyFont="1" applyFill="1" applyBorder="1" applyAlignment="1">
      <alignment horizontal="right" vertical="center" wrapText="1"/>
    </xf>
    <xf numFmtId="0" fontId="1" fillId="0" borderId="11" xfId="7" applyBorder="1"/>
    <xf numFmtId="0" fontId="39" fillId="0" borderId="0" xfId="1" applyFont="1" applyAlignment="1">
      <alignment vertical="top" wrapText="1"/>
    </xf>
    <xf numFmtId="0" fontId="39" fillId="0" borderId="0" xfId="1" applyFont="1" applyAlignment="1">
      <alignment horizontal="left" vertical="top"/>
    </xf>
    <xf numFmtId="0" fontId="39" fillId="0" borderId="4" xfId="1" applyFont="1" applyBorder="1" applyAlignment="1">
      <alignment horizontal="left" vertical="top"/>
    </xf>
    <xf numFmtId="0" fontId="20" fillId="0" borderId="4" xfId="1" applyFont="1" applyBorder="1" applyAlignment="1">
      <alignment horizontal="left" vertical="top" wrapText="1"/>
    </xf>
    <xf numFmtId="0" fontId="53" fillId="9" borderId="6" xfId="1" applyFont="1" applyFill="1" applyBorder="1" applyAlignment="1">
      <alignment horizontal="left" vertical="center" wrapText="1"/>
    </xf>
    <xf numFmtId="0" fontId="53" fillId="9" borderId="8" xfId="1" applyFont="1" applyFill="1" applyBorder="1" applyAlignment="1">
      <alignment horizontal="left" vertical="center" wrapText="1"/>
    </xf>
    <xf numFmtId="0" fontId="13" fillId="0" borderId="44" xfId="1" applyFont="1" applyBorder="1" applyAlignment="1">
      <alignment horizontal="left" vertical="top"/>
    </xf>
    <xf numFmtId="0" fontId="39" fillId="0" borderId="36" xfId="1" applyFont="1" applyBorder="1" applyAlignment="1">
      <alignment horizontal="left" vertical="top" wrapText="1"/>
    </xf>
    <xf numFmtId="0" fontId="39" fillId="0" borderId="37" xfId="1" applyFont="1" applyBorder="1" applyAlignment="1">
      <alignment horizontal="left" vertical="top"/>
    </xf>
    <xf numFmtId="165" fontId="0" fillId="3" borderId="11" xfId="3" applyNumberFormat="1" applyFont="1" applyFill="1" applyBorder="1" applyAlignment="1">
      <alignment horizontal="center" vertical="center"/>
    </xf>
    <xf numFmtId="0" fontId="20" fillId="0" borderId="9" xfId="1" applyFont="1" applyBorder="1" applyAlignment="1">
      <alignment horizontal="left" vertical="center"/>
    </xf>
    <xf numFmtId="0" fontId="20" fillId="0" borderId="48" xfId="1" applyFont="1" applyBorder="1" applyAlignment="1">
      <alignment horizontal="left" vertical="center"/>
    </xf>
    <xf numFmtId="0" fontId="52" fillId="0" borderId="52" xfId="1" applyFont="1" applyBorder="1" applyAlignment="1">
      <alignment horizontal="left" vertical="top" wrapText="1"/>
    </xf>
    <xf numFmtId="174" fontId="0" fillId="12" borderId="53" xfId="3" applyNumberFormat="1" applyFont="1" applyFill="1" applyBorder="1" applyAlignment="1">
      <alignment horizontal="right" vertical="center" wrapText="1"/>
    </xf>
    <xf numFmtId="0" fontId="20" fillId="0" borderId="44" xfId="1" applyFont="1" applyBorder="1" applyAlignment="1">
      <alignment horizontal="left" vertical="top" wrapText="1"/>
    </xf>
    <xf numFmtId="0" fontId="20" fillId="0" borderId="0" xfId="1" applyFont="1" applyAlignment="1">
      <alignment horizontal="left" vertical="top" wrapText="1"/>
    </xf>
    <xf numFmtId="0" fontId="13" fillId="0" borderId="6" xfId="1" applyFont="1" applyBorder="1" applyAlignment="1">
      <alignment horizontal="left" vertical="top" wrapText="1"/>
    </xf>
    <xf numFmtId="0" fontId="13" fillId="0" borderId="7" xfId="1" applyFont="1" applyBorder="1" applyAlignment="1">
      <alignment horizontal="left" vertical="top" wrapText="1"/>
    </xf>
    <xf numFmtId="0" fontId="13" fillId="0" borderId="7" xfId="1" applyFont="1" applyBorder="1" applyAlignment="1">
      <alignment horizontal="center" vertical="top" wrapText="1"/>
    </xf>
    <xf numFmtId="0" fontId="13" fillId="0" borderId="8" xfId="1" applyFont="1" applyBorder="1" applyAlignment="1">
      <alignment horizontal="center" vertical="top" wrapText="1"/>
    </xf>
    <xf numFmtId="0" fontId="13" fillId="0" borderId="4" xfId="1" applyFont="1" applyBorder="1" applyAlignment="1">
      <alignment horizontal="left" wrapText="1"/>
    </xf>
    <xf numFmtId="0" fontId="4" fillId="0" borderId="18" xfId="1" applyBorder="1" applyAlignment="1">
      <alignment horizontal="left" vertical="top" wrapText="1"/>
    </xf>
    <xf numFmtId="0" fontId="13" fillId="0" borderId="54" xfId="1" applyFont="1" applyBorder="1" applyAlignment="1">
      <alignment horizontal="left" vertical="top"/>
    </xf>
    <xf numFmtId="0" fontId="4" fillId="0" borderId="32" xfId="1" applyBorder="1" applyAlignment="1">
      <alignment horizontal="left" vertical="top" wrapText="1"/>
    </xf>
    <xf numFmtId="164" fontId="0" fillId="3" borderId="9" xfId="3" applyNumberFormat="1" applyFont="1" applyFill="1" applyBorder="1" applyAlignment="1">
      <alignment horizontal="left" vertical="top" wrapText="1"/>
    </xf>
    <xf numFmtId="164" fontId="4" fillId="0" borderId="44" xfId="1" applyNumberFormat="1" applyBorder="1"/>
    <xf numFmtId="0" fontId="6" fillId="0" borderId="10" xfId="1" applyFont="1" applyBorder="1" applyAlignment="1">
      <alignment horizontal="left" vertical="top" wrapText="1"/>
    </xf>
    <xf numFmtId="0" fontId="6" fillId="0" borderId="11" xfId="1" applyFont="1" applyBorder="1" applyAlignment="1">
      <alignment horizontal="left" vertical="top"/>
    </xf>
    <xf numFmtId="164" fontId="0" fillId="3" borderId="11" xfId="3" applyNumberFormat="1" applyFont="1" applyFill="1" applyBorder="1" applyAlignment="1">
      <alignment horizontal="center" vertical="center" wrapText="1"/>
    </xf>
    <xf numFmtId="0" fontId="6" fillId="0" borderId="11" xfId="1" applyFont="1" applyBorder="1" applyAlignment="1">
      <alignment horizontal="left" vertical="center" wrapText="1"/>
    </xf>
    <xf numFmtId="0" fontId="6" fillId="0" borderId="46" xfId="1" applyFont="1" applyBorder="1" applyAlignment="1">
      <alignment horizontal="left" vertical="center" wrapText="1"/>
    </xf>
    <xf numFmtId="164" fontId="4" fillId="0" borderId="0" xfId="1" applyNumberFormat="1" applyAlignment="1">
      <alignment horizontal="center" vertical="top" wrapText="1"/>
    </xf>
    <xf numFmtId="164" fontId="20" fillId="0" borderId="0" xfId="1" applyNumberFormat="1" applyFont="1" applyAlignment="1">
      <alignment horizontal="left" vertical="top" wrapText="1"/>
    </xf>
    <xf numFmtId="0" fontId="4" fillId="0" borderId="4" xfId="1" applyBorder="1" applyAlignment="1">
      <alignment vertical="top"/>
    </xf>
    <xf numFmtId="0" fontId="41" fillId="0" borderId="0" xfId="6" applyAlignment="1">
      <alignment horizontal="left" vertical="top"/>
    </xf>
    <xf numFmtId="0" fontId="41" fillId="8" borderId="55" xfId="6" applyFill="1" applyBorder="1" applyAlignment="1">
      <alignment vertical="center" wrapText="1"/>
    </xf>
    <xf numFmtId="0" fontId="24" fillId="8" borderId="50" xfId="4" applyFont="1" applyFill="1" applyBorder="1" applyAlignment="1">
      <alignment horizontal="center" vertical="center"/>
    </xf>
    <xf numFmtId="0" fontId="24" fillId="8" borderId="56" xfId="4" applyFont="1" applyFill="1" applyBorder="1" applyAlignment="1">
      <alignment horizontal="center" vertical="center"/>
    </xf>
    <xf numFmtId="0" fontId="4" fillId="0" borderId="12" xfId="1" applyBorder="1" applyAlignment="1">
      <alignment horizontal="left" vertical="top"/>
    </xf>
    <xf numFmtId="0" fontId="4" fillId="0" borderId="10" xfId="1" applyBorder="1" applyAlignment="1">
      <alignment horizontal="left" vertical="top"/>
    </xf>
    <xf numFmtId="177" fontId="41" fillId="0" borderId="4" xfId="6" applyNumberFormat="1" applyBorder="1" applyAlignment="1">
      <alignment horizontal="center" vertical="top" wrapText="1"/>
    </xf>
    <xf numFmtId="0" fontId="4" fillId="0" borderId="5" xfId="1" applyBorder="1" applyAlignment="1">
      <alignment vertical="top" wrapText="1"/>
    </xf>
    <xf numFmtId="167" fontId="0" fillId="3" borderId="16" xfId="5" applyNumberFormat="1" applyFont="1" applyFill="1" applyBorder="1" applyAlignment="1">
      <alignment horizontal="left" vertical="top"/>
    </xf>
    <xf numFmtId="164" fontId="4" fillId="0" borderId="32" xfId="1" applyNumberFormat="1" applyBorder="1" applyAlignment="1">
      <alignment horizontal="left" vertical="top"/>
    </xf>
    <xf numFmtId="0" fontId="50" fillId="0" borderId="49" xfId="1" applyFont="1" applyBorder="1" applyAlignment="1">
      <alignment horizontal="left" vertical="top"/>
    </xf>
    <xf numFmtId="0" fontId="6" fillId="0" borderId="57" xfId="1" applyFont="1" applyBorder="1" applyAlignment="1">
      <alignment horizontal="left" vertical="top" wrapText="1"/>
    </xf>
    <xf numFmtId="0" fontId="6" fillId="0" borderId="58" xfId="1" applyFont="1" applyBorder="1" applyAlignment="1">
      <alignment horizontal="left" vertical="top"/>
    </xf>
    <xf numFmtId="164" fontId="0" fillId="3" borderId="58" xfId="3" applyNumberFormat="1" applyFont="1" applyFill="1" applyBorder="1" applyAlignment="1">
      <alignment horizontal="center" vertical="center" wrapText="1"/>
    </xf>
    <xf numFmtId="176" fontId="6" fillId="0" borderId="58" xfId="1" applyNumberFormat="1" applyFont="1" applyBorder="1" applyAlignment="1">
      <alignment horizontal="left" vertical="top" wrapText="1"/>
    </xf>
    <xf numFmtId="176" fontId="6" fillId="0" borderId="51" xfId="1" applyNumberFormat="1" applyFont="1" applyBorder="1" applyAlignment="1">
      <alignment horizontal="left" vertical="top" wrapText="1"/>
    </xf>
    <xf numFmtId="164" fontId="46" fillId="0" borderId="0" xfId="1" applyNumberFormat="1" applyFont="1" applyAlignment="1">
      <alignment vertical="top" wrapText="1"/>
    </xf>
    <xf numFmtId="164" fontId="4" fillId="0" borderId="0" xfId="1" applyNumberFormat="1" applyAlignment="1">
      <alignment vertical="top"/>
    </xf>
    <xf numFmtId="0" fontId="39" fillId="0" borderId="6" xfId="1" applyFont="1" applyBorder="1" applyAlignment="1">
      <alignment horizontal="center" vertical="top" wrapText="1"/>
    </xf>
    <xf numFmtId="0" fontId="39" fillId="0" borderId="7" xfId="1" applyFont="1" applyBorder="1" applyAlignment="1">
      <alignment horizontal="center" vertical="top" wrapText="1"/>
    </xf>
    <xf numFmtId="0" fontId="39" fillId="0" borderId="8" xfId="1" applyFont="1" applyBorder="1" applyAlignment="1">
      <alignment horizontal="center" vertical="top" wrapText="1"/>
    </xf>
    <xf numFmtId="0" fontId="20" fillId="0" borderId="39" xfId="1" applyFont="1" applyBorder="1" applyAlignment="1">
      <alignment horizontal="left" vertical="top" wrapText="1"/>
    </xf>
    <xf numFmtId="0" fontId="4" fillId="0" borderId="7" xfId="1" applyBorder="1" applyAlignment="1">
      <alignment horizontal="left" vertical="top"/>
    </xf>
    <xf numFmtId="0" fontId="13" fillId="0" borderId="0" xfId="1" applyFont="1" applyAlignment="1">
      <alignment horizontal="left" vertical="top" wrapText="1"/>
    </xf>
    <xf numFmtId="164" fontId="48" fillId="0" borderId="7" xfId="1" applyNumberFormat="1" applyFont="1" applyBorder="1" applyAlignment="1">
      <alignment horizontal="left" vertical="top" wrapText="1"/>
    </xf>
    <xf numFmtId="1" fontId="9" fillId="0" borderId="0" xfId="1" applyNumberFormat="1" applyFont="1" applyAlignment="1">
      <alignment horizontal="left" vertical="top"/>
    </xf>
    <xf numFmtId="0" fontId="19" fillId="0" borderId="9" xfId="4" applyFont="1" applyBorder="1" applyAlignment="1">
      <alignment horizontal="left" vertical="top" wrapText="1"/>
    </xf>
    <xf numFmtId="0" fontId="57" fillId="0" borderId="11" xfId="4" applyFont="1" applyBorder="1" applyAlignment="1">
      <alignment horizontal="left" vertical="top" wrapText="1"/>
    </xf>
    <xf numFmtId="0" fontId="19" fillId="0" borderId="12" xfId="4" applyFont="1" applyBorder="1" applyAlignment="1">
      <alignment horizontal="left" vertical="top" wrapText="1"/>
    </xf>
    <xf numFmtId="0" fontId="10" fillId="0" borderId="12" xfId="4" applyFont="1" applyBorder="1" applyAlignment="1">
      <alignment vertical="top"/>
    </xf>
    <xf numFmtId="0" fontId="10" fillId="0" borderId="10" xfId="4" applyFont="1" applyBorder="1" applyAlignment="1">
      <alignment vertical="top"/>
    </xf>
    <xf numFmtId="0" fontId="43" fillId="0" borderId="11" xfId="4" applyFont="1" applyBorder="1" applyAlignment="1">
      <alignment horizontal="left" vertical="top" wrapText="1"/>
    </xf>
    <xf numFmtId="0" fontId="43" fillId="0" borderId="12" xfId="4" applyFont="1" applyBorder="1" applyAlignment="1">
      <alignment horizontal="left" vertical="top" wrapText="1"/>
    </xf>
    <xf numFmtId="0" fontId="20" fillId="0" borderId="9" xfId="4" applyFont="1" applyBorder="1" applyAlignment="1">
      <alignment horizontal="left" vertical="top" wrapText="1"/>
    </xf>
    <xf numFmtId="0" fontId="20" fillId="0" borderId="12" xfId="1" applyFont="1" applyBorder="1" applyAlignment="1">
      <alignment horizontal="left" vertical="top"/>
    </xf>
    <xf numFmtId="0" fontId="20" fillId="0" borderId="10" xfId="1" applyFont="1" applyBorder="1" applyAlignment="1">
      <alignment horizontal="left" vertical="top"/>
    </xf>
    <xf numFmtId="0" fontId="41" fillId="7" borderId="9" xfId="6" applyFill="1" applyBorder="1" applyAlignment="1">
      <alignment horizontal="left" vertical="top" wrapText="1"/>
    </xf>
    <xf numFmtId="0" fontId="58" fillId="7" borderId="9" xfId="6" applyFont="1" applyFill="1" applyBorder="1" applyAlignment="1">
      <alignment horizontal="left" vertical="top" wrapText="1"/>
    </xf>
    <xf numFmtId="0" fontId="20" fillId="7" borderId="9" xfId="4" applyFont="1" applyFill="1" applyBorder="1" applyAlignment="1">
      <alignment horizontal="left" vertical="top" wrapText="1"/>
    </xf>
    <xf numFmtId="0" fontId="20" fillId="7" borderId="10" xfId="4" applyFont="1" applyFill="1" applyBorder="1" applyAlignment="1">
      <alignment horizontal="left" vertical="top" wrapText="1"/>
    </xf>
    <xf numFmtId="0" fontId="20" fillId="0" borderId="12" xfId="4" applyFont="1" applyBorder="1" applyAlignment="1">
      <alignment vertical="top" wrapText="1"/>
    </xf>
    <xf numFmtId="0" fontId="20" fillId="0" borderId="10" xfId="4" applyFont="1" applyBorder="1" applyAlignment="1">
      <alignment horizontal="right" vertical="top" wrapText="1"/>
    </xf>
    <xf numFmtId="0" fontId="20" fillId="0" borderId="9" xfId="4" applyFont="1" applyBorder="1" applyAlignment="1">
      <alignment horizontal="right" vertical="top" wrapText="1"/>
    </xf>
    <xf numFmtId="0" fontId="20" fillId="0" borderId="11" xfId="4" applyFont="1" applyBorder="1" applyAlignment="1">
      <alignment horizontal="left" vertical="top" wrapText="1"/>
    </xf>
    <xf numFmtId="0" fontId="20" fillId="0" borderId="11" xfId="4" applyFont="1" applyBorder="1" applyAlignment="1">
      <alignment horizontal="center" vertical="top" wrapText="1"/>
    </xf>
    <xf numFmtId="0" fontId="6" fillId="0" borderId="11" xfId="1" applyFont="1" applyBorder="1" applyAlignment="1">
      <alignment horizontal="left" vertical="top" wrapText="1"/>
    </xf>
    <xf numFmtId="0" fontId="4" fillId="0" borderId="11" xfId="1" applyBorder="1" applyAlignment="1">
      <alignment horizontal="left" vertical="top" wrapText="1"/>
    </xf>
    <xf numFmtId="0" fontId="24" fillId="0" borderId="54" xfId="1" applyFont="1" applyBorder="1" applyAlignment="1">
      <alignment horizontal="justify" vertical="center" wrapText="1"/>
    </xf>
    <xf numFmtId="0" fontId="24" fillId="0" borderId="59" xfId="1" applyFont="1" applyBorder="1" applyAlignment="1">
      <alignment horizontal="justify" vertical="center" wrapText="1"/>
    </xf>
    <xf numFmtId="0" fontId="39" fillId="0" borderId="9" xfId="4" applyFont="1" applyBorder="1" applyAlignment="1">
      <alignment horizontal="left" vertical="top" wrapText="1"/>
    </xf>
    <xf numFmtId="0" fontId="57" fillId="0" borderId="12" xfId="4" applyFont="1" applyBorder="1" applyAlignment="1">
      <alignment horizontal="left" vertical="top" wrapText="1"/>
    </xf>
    <xf numFmtId="0" fontId="39" fillId="0" borderId="12" xfId="4" applyFont="1" applyBorder="1" applyAlignment="1">
      <alignment horizontal="left" vertical="top" wrapText="1"/>
    </xf>
    <xf numFmtId="3" fontId="19" fillId="0" borderId="12" xfId="4" applyNumberFormat="1" applyFont="1" applyBorder="1" applyAlignment="1">
      <alignment horizontal="left" vertical="top"/>
    </xf>
    <xf numFmtId="0" fontId="19" fillId="0" borderId="12" xfId="4" applyFont="1" applyBorder="1" applyAlignment="1">
      <alignment horizontal="left" vertical="top"/>
    </xf>
    <xf numFmtId="3" fontId="19" fillId="0" borderId="10" xfId="4" applyNumberFormat="1" applyFont="1" applyBorder="1" applyAlignment="1">
      <alignment horizontal="left" vertical="top"/>
    </xf>
    <xf numFmtId="3" fontId="19" fillId="0" borderId="11" xfId="4" applyNumberFormat="1" applyFont="1" applyBorder="1" applyAlignment="1">
      <alignment horizontal="left" vertical="top"/>
    </xf>
    <xf numFmtId="0" fontId="19" fillId="0" borderId="11" xfId="4" applyFont="1" applyBorder="1" applyAlignment="1">
      <alignment horizontal="left" vertical="top"/>
    </xf>
    <xf numFmtId="164" fontId="19" fillId="0" borderId="11" xfId="3" applyNumberFormat="1" applyFont="1" applyBorder="1" applyAlignment="1">
      <alignment horizontal="left" vertical="top"/>
    </xf>
    <xf numFmtId="0" fontId="20" fillId="0" borderId="11" xfId="1" applyFont="1" applyBorder="1" applyAlignment="1">
      <alignment horizontal="left" vertical="top"/>
    </xf>
    <xf numFmtId="0" fontId="20" fillId="0" borderId="11" xfId="1" applyFont="1" applyBorder="1" applyAlignment="1">
      <alignment horizontal="left" vertical="top" wrapText="1"/>
    </xf>
    <xf numFmtId="0" fontId="59" fillId="0" borderId="11" xfId="4" applyFont="1" applyBorder="1" applyAlignment="1">
      <alignment horizontal="left" vertical="top" wrapText="1"/>
    </xf>
    <xf numFmtId="0" fontId="59" fillId="0" borderId="6" xfId="4" applyFont="1" applyBorder="1" applyAlignment="1">
      <alignment horizontal="left" vertical="top" wrapText="1"/>
    </xf>
    <xf numFmtId="0" fontId="19" fillId="0" borderId="6" xfId="4" applyFont="1" applyBorder="1" applyAlignment="1">
      <alignment horizontal="left" vertical="top" wrapText="1"/>
    </xf>
    <xf numFmtId="0" fontId="19" fillId="7" borderId="6" xfId="4" applyFont="1" applyFill="1" applyBorder="1" applyAlignment="1">
      <alignment horizontal="left" vertical="top" wrapText="1"/>
    </xf>
    <xf numFmtId="1" fontId="19" fillId="7" borderId="6" xfId="4" applyNumberFormat="1" applyFont="1" applyFill="1" applyBorder="1" applyAlignment="1">
      <alignment horizontal="left" vertical="top" wrapText="1"/>
    </xf>
    <xf numFmtId="0" fontId="41" fillId="7" borderId="6" xfId="6" applyFill="1" applyBorder="1" applyAlignment="1">
      <alignment horizontal="left" vertical="top" wrapText="1"/>
    </xf>
    <xf numFmtId="178" fontId="19" fillId="7" borderId="6" xfId="4" applyNumberFormat="1" applyFont="1" applyFill="1" applyBorder="1" applyAlignment="1">
      <alignment horizontal="left" vertical="top" wrapText="1"/>
    </xf>
    <xf numFmtId="0" fontId="19" fillId="3" borderId="9" xfId="4" applyFont="1" applyFill="1" applyBorder="1" applyAlignment="1">
      <alignment horizontal="left" vertical="top"/>
    </xf>
    <xf numFmtId="0" fontId="19" fillId="0" borderId="10" xfId="4" applyFont="1" applyBorder="1" applyAlignment="1">
      <alignment horizontal="left" vertical="top"/>
    </xf>
    <xf numFmtId="179" fontId="19" fillId="3" borderId="7" xfId="4" applyNumberFormat="1" applyFont="1" applyFill="1" applyBorder="1" applyAlignment="1">
      <alignment horizontal="left" vertical="top"/>
    </xf>
    <xf numFmtId="167" fontId="19" fillId="0" borderId="8" xfId="5" applyNumberFormat="1" applyFont="1" applyBorder="1" applyAlignment="1">
      <alignment horizontal="left" vertical="top" wrapText="1"/>
    </xf>
    <xf numFmtId="167" fontId="19" fillId="0" borderId="9" xfId="5" applyNumberFormat="1" applyFont="1" applyFill="1" applyBorder="1" applyAlignment="1">
      <alignment horizontal="left" vertical="top" wrapText="1"/>
    </xf>
    <xf numFmtId="0" fontId="50" fillId="0" borderId="10" xfId="1" applyFont="1" applyBorder="1" applyAlignment="1">
      <alignment horizontal="left" vertical="top"/>
    </xf>
    <xf numFmtId="0" fontId="19" fillId="3" borderId="11" xfId="4" applyFont="1" applyFill="1" applyBorder="1" applyAlignment="1">
      <alignment horizontal="left" vertical="top"/>
    </xf>
    <xf numFmtId="0" fontId="19" fillId="0" borderId="11" xfId="4" applyFont="1" applyBorder="1" applyAlignment="1">
      <alignment horizontal="left" vertical="top" wrapText="1"/>
    </xf>
    <xf numFmtId="6" fontId="19" fillId="0" borderId="11" xfId="4" applyNumberFormat="1" applyFont="1" applyBorder="1" applyAlignment="1">
      <alignment horizontal="left" vertical="top"/>
    </xf>
    <xf numFmtId="9" fontId="19" fillId="0" borderId="11" xfId="2" applyFont="1" applyBorder="1" applyAlignment="1">
      <alignment horizontal="left" vertical="top"/>
    </xf>
    <xf numFmtId="0" fontId="19" fillId="0" borderId="7" xfId="4" applyFont="1" applyBorder="1" applyAlignment="1">
      <alignment horizontal="left" vertical="top"/>
    </xf>
    <xf numFmtId="9" fontId="0" fillId="0" borderId="18" xfId="2" applyFont="1" applyBorder="1" applyAlignment="1">
      <alignment horizontal="left" vertical="top"/>
    </xf>
    <xf numFmtId="0" fontId="19" fillId="0" borderId="11" xfId="1" applyFont="1" applyBorder="1" applyAlignment="1">
      <alignment horizontal="center" vertical="top" wrapText="1"/>
    </xf>
    <xf numFmtId="0" fontId="4" fillId="0" borderId="5" xfId="1" applyBorder="1" applyAlignment="1">
      <alignment horizontal="left" vertical="top" wrapText="1"/>
    </xf>
    <xf numFmtId="0" fontId="24" fillId="0" borderId="60" xfId="1" applyFont="1" applyBorder="1" applyAlignment="1">
      <alignment horizontal="justify" vertical="center" wrapText="1"/>
    </xf>
    <xf numFmtId="9" fontId="24" fillId="0" borderId="61" xfId="1" applyNumberFormat="1" applyFont="1" applyBorder="1" applyAlignment="1">
      <alignment horizontal="justify" vertical="center" wrapText="1"/>
    </xf>
    <xf numFmtId="0" fontId="39" fillId="0" borderId="1" xfId="4" applyFont="1" applyBorder="1" applyAlignment="1">
      <alignment vertical="top" wrapText="1"/>
    </xf>
    <xf numFmtId="49" fontId="57" fillId="0" borderId="2" xfId="4" applyNumberFormat="1" applyFont="1" applyBorder="1" applyAlignment="1">
      <alignment horizontal="left" vertical="top" wrapText="1"/>
    </xf>
    <xf numFmtId="0" fontId="59" fillId="0" borderId="16" xfId="4" applyFont="1" applyBorder="1" applyAlignment="1">
      <alignment vertical="top" wrapText="1"/>
    </xf>
    <xf numFmtId="0" fontId="59" fillId="0" borderId="4" xfId="4" applyFont="1" applyBorder="1" applyAlignment="1">
      <alignment horizontal="left" vertical="top" wrapText="1"/>
    </xf>
    <xf numFmtId="180" fontId="13" fillId="7" borderId="6" xfId="4" applyNumberFormat="1" applyFont="1" applyFill="1" applyBorder="1" applyAlignment="1">
      <alignment horizontal="left" vertical="top" wrapText="1"/>
    </xf>
    <xf numFmtId="0" fontId="19" fillId="3" borderId="6" xfId="4" applyFont="1" applyFill="1" applyBorder="1" applyAlignment="1">
      <alignment horizontal="left" vertical="top"/>
    </xf>
    <xf numFmtId="9" fontId="0" fillId="0" borderId="11" xfId="2" applyFont="1" applyBorder="1" applyAlignment="1">
      <alignment horizontal="left" vertical="top"/>
    </xf>
    <xf numFmtId="0" fontId="39" fillId="0" borderId="4" xfId="4" applyFont="1" applyBorder="1" applyAlignment="1">
      <alignment vertical="top" wrapText="1"/>
    </xf>
    <xf numFmtId="0" fontId="59" fillId="0" borderId="17" xfId="4" applyFont="1" applyBorder="1" applyAlignment="1">
      <alignment vertical="top" wrapText="1"/>
    </xf>
    <xf numFmtId="0" fontId="19" fillId="0" borderId="6" xfId="4" applyFont="1" applyBorder="1" applyAlignment="1">
      <alignment horizontal="left" vertical="top"/>
    </xf>
    <xf numFmtId="179" fontId="19" fillId="12" borderId="7" xfId="4" applyNumberFormat="1" applyFont="1" applyFill="1" applyBorder="1" applyAlignment="1">
      <alignment horizontal="left" vertical="top"/>
    </xf>
    <xf numFmtId="0" fontId="19" fillId="0" borderId="9" xfId="1" applyFont="1" applyBorder="1" applyAlignment="1">
      <alignment horizontal="center" vertical="top" wrapText="1"/>
    </xf>
    <xf numFmtId="0" fontId="41" fillId="0" borderId="62" xfId="6" applyBorder="1" applyAlignment="1">
      <alignment vertical="center" wrapText="1"/>
    </xf>
    <xf numFmtId="0" fontId="13" fillId="0" borderId="63" xfId="1" applyFont="1" applyBorder="1" applyAlignment="1">
      <alignment horizontal="left" vertical="center" wrapText="1"/>
    </xf>
    <xf numFmtId="0" fontId="13" fillId="0" borderId="40" xfId="1" applyFont="1" applyBorder="1" applyAlignment="1">
      <alignment horizontal="left" vertical="center" wrapText="1"/>
    </xf>
    <xf numFmtId="0" fontId="4" fillId="13" borderId="5" xfId="1" applyFill="1" applyBorder="1" applyAlignment="1">
      <alignment horizontal="center" vertical="center" textRotation="90"/>
    </xf>
    <xf numFmtId="3" fontId="20" fillId="0" borderId="11" xfId="4" applyNumberFormat="1" applyFont="1" applyBorder="1" applyAlignment="1">
      <alignment horizontal="left" vertical="top" wrapText="1"/>
    </xf>
    <xf numFmtId="0" fontId="13" fillId="0" borderId="10" xfId="4" applyFont="1" applyBorder="1" applyAlignment="1">
      <alignment horizontal="left" vertical="top" wrapText="1"/>
    </xf>
    <xf numFmtId="0" fontId="4" fillId="0" borderId="47" xfId="1" applyBorder="1" applyAlignment="1">
      <alignment horizontal="center" vertical="center" wrapText="1"/>
    </xf>
    <xf numFmtId="0" fontId="4" fillId="14" borderId="11" xfId="1" applyFill="1" applyBorder="1" applyAlignment="1">
      <alignment horizontal="center" vertical="center" wrapText="1"/>
    </xf>
    <xf numFmtId="0" fontId="4" fillId="14" borderId="46" xfId="1" applyFill="1" applyBorder="1" applyAlignment="1">
      <alignment horizontal="center" vertical="center" wrapText="1"/>
    </xf>
    <xf numFmtId="0" fontId="54" fillId="0" borderId="11" xfId="4" applyFont="1" applyBorder="1" applyAlignment="1">
      <alignment horizontal="center" vertical="top"/>
    </xf>
    <xf numFmtId="0" fontId="1" fillId="0" borderId="0" xfId="4" applyAlignment="1">
      <alignment horizontal="left" vertical="top"/>
    </xf>
    <xf numFmtId="0" fontId="13" fillId="0" borderId="11" xfId="4" applyFont="1" applyBorder="1" applyAlignment="1">
      <alignment horizontal="left" vertical="top" wrapText="1"/>
    </xf>
    <xf numFmtId="0" fontId="39" fillId="0" borderId="6" xfId="4" applyFont="1" applyBorder="1" applyAlignment="1">
      <alignment vertical="top" wrapText="1"/>
    </xf>
    <xf numFmtId="3" fontId="19" fillId="0" borderId="11" xfId="4" applyNumberFormat="1" applyFont="1" applyBorder="1" applyAlignment="1">
      <alignment horizontal="left" vertical="top" wrapText="1"/>
    </xf>
    <xf numFmtId="0" fontId="59" fillId="0" borderId="18" xfId="4" applyFont="1" applyBorder="1" applyAlignment="1">
      <alignment vertical="top" wrapText="1"/>
    </xf>
    <xf numFmtId="0" fontId="54" fillId="0" borderId="16" xfId="4" applyFont="1" applyBorder="1" applyAlignment="1">
      <alignment horizontal="center" vertical="top" wrapText="1"/>
    </xf>
    <xf numFmtId="0" fontId="19" fillId="7" borderId="4" xfId="4" applyFont="1" applyFill="1" applyBorder="1" applyAlignment="1">
      <alignment horizontal="left" vertical="top" wrapText="1"/>
    </xf>
    <xf numFmtId="180" fontId="13" fillId="7" borderId="4" xfId="4" applyNumberFormat="1" applyFont="1" applyFill="1" applyBorder="1" applyAlignment="1">
      <alignment horizontal="left" vertical="top" wrapText="1"/>
    </xf>
    <xf numFmtId="0" fontId="19" fillId="7" borderId="64" xfId="4" applyFont="1" applyFill="1" applyBorder="1" applyAlignment="1">
      <alignment horizontal="left" vertical="top" wrapText="1"/>
    </xf>
    <xf numFmtId="0" fontId="19" fillId="7" borderId="65" xfId="4" applyFont="1" applyFill="1" applyBorder="1" applyAlignment="1">
      <alignment horizontal="left" vertical="top" wrapText="1"/>
    </xf>
    <xf numFmtId="0" fontId="41" fillId="7" borderId="4" xfId="6" applyFill="1" applyBorder="1" applyAlignment="1">
      <alignment horizontal="left" vertical="top" wrapText="1"/>
    </xf>
    <xf numFmtId="178" fontId="19" fillId="7" borderId="4" xfId="4" applyNumberFormat="1" applyFont="1" applyFill="1" applyBorder="1" applyAlignment="1">
      <alignment horizontal="left" vertical="top" wrapText="1"/>
    </xf>
    <xf numFmtId="0" fontId="19" fillId="0" borderId="3" xfId="4" applyFont="1" applyBorder="1" applyAlignment="1">
      <alignment horizontal="left" vertical="top"/>
    </xf>
    <xf numFmtId="181" fontId="19" fillId="0" borderId="11" xfId="4" applyNumberFormat="1" applyFont="1" applyBorder="1" applyAlignment="1">
      <alignment horizontal="left" vertical="top"/>
    </xf>
    <xf numFmtId="0" fontId="57" fillId="0" borderId="2" xfId="4" applyFont="1" applyBorder="1" applyAlignment="1">
      <alignment horizontal="left" vertical="top" wrapText="1"/>
    </xf>
    <xf numFmtId="0" fontId="59" fillId="0" borderId="66" xfId="1" applyFont="1" applyBorder="1" applyAlignment="1">
      <alignment horizontal="left" vertical="top" wrapText="1"/>
    </xf>
    <xf numFmtId="0" fontId="63" fillId="0" borderId="67" xfId="4" applyFont="1" applyBorder="1" applyAlignment="1">
      <alignment horizontal="center" vertical="center" textRotation="255"/>
    </xf>
    <xf numFmtId="0" fontId="19" fillId="0" borderId="68" xfId="4" applyFont="1" applyBorder="1" applyAlignment="1">
      <alignment horizontal="left" vertical="top"/>
    </xf>
    <xf numFmtId="0" fontId="19" fillId="7" borderId="68" xfId="4" applyFont="1" applyFill="1" applyBorder="1" applyAlignment="1">
      <alignment horizontal="left" vertical="top" wrapText="1"/>
    </xf>
    <xf numFmtId="0" fontId="19" fillId="7" borderId="68" xfId="4" applyFont="1" applyFill="1" applyBorder="1" applyAlignment="1">
      <alignment horizontal="left" vertical="top"/>
    </xf>
    <xf numFmtId="0" fontId="41" fillId="7" borderId="69" xfId="6" applyFill="1" applyBorder="1" applyAlignment="1">
      <alignment horizontal="left" vertical="top" wrapText="1"/>
    </xf>
    <xf numFmtId="178" fontId="19" fillId="7" borderId="69" xfId="4" applyNumberFormat="1" applyFont="1" applyFill="1" applyBorder="1" applyAlignment="1">
      <alignment horizontal="left" vertical="top" wrapText="1"/>
    </xf>
    <xf numFmtId="0" fontId="19" fillId="3" borderId="68" xfId="4" applyFont="1" applyFill="1" applyBorder="1" applyAlignment="1">
      <alignment horizontal="left" vertical="top"/>
    </xf>
    <xf numFmtId="0" fontId="19" fillId="0" borderId="70" xfId="4" applyFont="1" applyBorder="1" applyAlignment="1">
      <alignment horizontal="left" vertical="top"/>
    </xf>
    <xf numFmtId="164" fontId="19" fillId="0" borderId="11" xfId="3" applyNumberFormat="1" applyFont="1" applyBorder="1" applyAlignment="1">
      <alignment horizontal="left" vertical="top" wrapText="1"/>
    </xf>
    <xf numFmtId="0" fontId="59" fillId="0" borderId="71" xfId="1" applyFont="1" applyBorder="1" applyAlignment="1">
      <alignment horizontal="left" vertical="top" wrapText="1"/>
    </xf>
    <xf numFmtId="0" fontId="63" fillId="0" borderId="72" xfId="4" applyFont="1" applyBorder="1" applyAlignment="1">
      <alignment horizontal="center" vertical="center" textRotation="255"/>
    </xf>
    <xf numFmtId="0" fontId="19" fillId="7" borderId="11" xfId="4" applyFont="1" applyFill="1" applyBorder="1" applyAlignment="1">
      <alignment horizontal="left" vertical="top" wrapText="1"/>
    </xf>
    <xf numFmtId="0" fontId="19" fillId="7" borderId="11" xfId="4" applyFont="1" applyFill="1" applyBorder="1" applyAlignment="1">
      <alignment horizontal="left" vertical="top"/>
    </xf>
    <xf numFmtId="0" fontId="7" fillId="7" borderId="11" xfId="8" applyFill="1" applyBorder="1" applyAlignment="1">
      <alignment horizontal="center" vertical="top"/>
    </xf>
    <xf numFmtId="0" fontId="19" fillId="0" borderId="73" xfId="4" applyFont="1" applyBorder="1" applyAlignment="1">
      <alignment horizontal="left" vertical="top"/>
    </xf>
    <xf numFmtId="0" fontId="59" fillId="0" borderId="74" xfId="1" applyFont="1" applyBorder="1" applyAlignment="1">
      <alignment horizontal="left" vertical="top" wrapText="1"/>
    </xf>
    <xf numFmtId="169" fontId="19" fillId="0" borderId="11" xfId="4" applyNumberFormat="1" applyFont="1" applyBorder="1" applyAlignment="1">
      <alignment horizontal="left" vertical="top"/>
    </xf>
    <xf numFmtId="0" fontId="13" fillId="0" borderId="11" xfId="1" applyFont="1" applyBorder="1" applyAlignment="1">
      <alignment vertical="top" wrapText="1"/>
    </xf>
    <xf numFmtId="0" fontId="13" fillId="7" borderId="11" xfId="1" applyFont="1" applyFill="1" applyBorder="1" applyAlignment="1">
      <alignment horizontal="left" vertical="top" wrapText="1"/>
    </xf>
    <xf numFmtId="0" fontId="57" fillId="0" borderId="0" xfId="4" applyFont="1" applyAlignment="1">
      <alignment horizontal="left" vertical="top" wrapText="1"/>
    </xf>
    <xf numFmtId="0" fontId="10" fillId="0" borderId="12" xfId="4" applyFont="1" applyBorder="1" applyAlignment="1">
      <alignment horizontal="left" vertical="top" wrapText="1"/>
    </xf>
    <xf numFmtId="0" fontId="4" fillId="0" borderId="55" xfId="1" applyBorder="1" applyAlignment="1">
      <alignment horizontal="center" vertical="center" wrapText="1"/>
    </xf>
    <xf numFmtId="0" fontId="4" fillId="14" borderId="58" xfId="1" applyFill="1" applyBorder="1" applyAlignment="1">
      <alignment horizontal="center" vertical="center" wrapText="1"/>
    </xf>
    <xf numFmtId="0" fontId="4" fillId="14" borderId="51" xfId="1" applyFill="1" applyBorder="1" applyAlignment="1">
      <alignment horizontal="center" vertical="center" wrapText="1"/>
    </xf>
    <xf numFmtId="0" fontId="4" fillId="0" borderId="0" xfId="1" applyAlignment="1">
      <alignment horizontal="center" vertical="center" wrapText="1"/>
    </xf>
    <xf numFmtId="0" fontId="13" fillId="0" borderId="11" xfId="1" applyFont="1" applyBorder="1" applyAlignment="1">
      <alignment horizontal="left" vertical="top" wrapText="1"/>
    </xf>
    <xf numFmtId="0" fontId="57" fillId="0" borderId="2" xfId="4" applyFont="1" applyBorder="1" applyAlignment="1">
      <alignment horizontal="center" vertical="top" wrapText="1"/>
    </xf>
    <xf numFmtId="0" fontId="59" fillId="0" borderId="9" xfId="1" applyFont="1" applyBorder="1" applyAlignment="1">
      <alignment vertical="top" wrapText="1"/>
    </xf>
    <xf numFmtId="0" fontId="13" fillId="7" borderId="6" xfId="1" applyFont="1" applyFill="1" applyBorder="1" applyAlignment="1">
      <alignment horizontal="left" vertical="top" wrapText="1"/>
    </xf>
    <xf numFmtId="0" fontId="20" fillId="0" borderId="75" xfId="4" applyFont="1" applyBorder="1" applyAlignment="1">
      <alignment horizontal="left" vertical="top" wrapText="1"/>
    </xf>
    <xf numFmtId="0" fontId="58" fillId="0" borderId="12" xfId="6" applyFont="1" applyBorder="1" applyAlignment="1">
      <alignment horizontal="left" vertical="top" wrapText="1"/>
    </xf>
    <xf numFmtId="0" fontId="57" fillId="0" borderId="0" xfId="4" applyFont="1" applyAlignment="1">
      <alignment horizontal="center" vertical="top" wrapText="1"/>
    </xf>
    <xf numFmtId="0" fontId="13" fillId="0" borderId="75" xfId="4" applyFont="1" applyBorder="1" applyAlignment="1">
      <alignment horizontal="left" vertical="top" wrapText="1"/>
    </xf>
    <xf numFmtId="0" fontId="19" fillId="0" borderId="10" xfId="4" applyFont="1" applyBorder="1" applyAlignment="1">
      <alignment horizontal="left" vertical="top" wrapText="1"/>
    </xf>
    <xf numFmtId="0" fontId="63" fillId="0" borderId="76" xfId="4" applyFont="1" applyBorder="1" applyAlignment="1">
      <alignment horizontal="center" vertical="center" textRotation="255"/>
    </xf>
    <xf numFmtId="0" fontId="19" fillId="0" borderId="65" xfId="4" applyFont="1" applyBorder="1" applyAlignment="1">
      <alignment horizontal="left" vertical="top" wrapText="1"/>
    </xf>
    <xf numFmtId="0" fontId="13" fillId="7" borderId="65" xfId="1" applyFont="1" applyFill="1" applyBorder="1" applyAlignment="1">
      <alignment horizontal="left" vertical="top" wrapText="1"/>
    </xf>
    <xf numFmtId="180" fontId="13" fillId="7" borderId="77" xfId="4" applyNumberFormat="1" applyFont="1" applyFill="1" applyBorder="1" applyAlignment="1">
      <alignment horizontal="left" vertical="top" wrapText="1"/>
    </xf>
    <xf numFmtId="0" fontId="13" fillId="7" borderId="77" xfId="1" applyFont="1" applyFill="1" applyBorder="1" applyAlignment="1">
      <alignment horizontal="left" vertical="top" wrapText="1"/>
    </xf>
    <xf numFmtId="178" fontId="19" fillId="7" borderId="77" xfId="4" applyNumberFormat="1" applyFont="1" applyFill="1" applyBorder="1" applyAlignment="1">
      <alignment horizontal="left" vertical="top" wrapText="1"/>
    </xf>
    <xf numFmtId="0" fontId="19" fillId="0" borderId="78" xfId="4" applyFont="1" applyBorder="1" applyAlignment="1">
      <alignment horizontal="left" vertical="top"/>
    </xf>
    <xf numFmtId="0" fontId="4" fillId="0" borderId="11" xfId="1" applyBorder="1" applyAlignment="1">
      <alignment horizontal="left" vertical="top"/>
    </xf>
    <xf numFmtId="0" fontId="4" fillId="0" borderId="18" xfId="1" applyBorder="1" applyAlignment="1">
      <alignment horizontal="left" vertical="top"/>
    </xf>
    <xf numFmtId="0" fontId="19" fillId="0" borderId="18" xfId="4" applyFont="1" applyBorder="1" applyAlignment="1">
      <alignment vertical="top" textRotation="255"/>
    </xf>
    <xf numFmtId="0" fontId="13" fillId="7" borderId="18" xfId="1" applyFont="1" applyFill="1" applyBorder="1" applyAlignment="1">
      <alignment horizontal="left" vertical="top" wrapText="1"/>
    </xf>
    <xf numFmtId="0" fontId="19" fillId="7" borderId="18" xfId="4" applyFont="1" applyFill="1" applyBorder="1" applyAlignment="1">
      <alignment vertical="top" textRotation="255"/>
    </xf>
    <xf numFmtId="0" fontId="19" fillId="7" borderId="18" xfId="4" applyFont="1" applyFill="1" applyBorder="1" applyAlignment="1">
      <alignment horizontal="center" vertical="top" textRotation="255"/>
    </xf>
    <xf numFmtId="0" fontId="19" fillId="7" borderId="6" xfId="4" applyFont="1" applyFill="1" applyBorder="1" applyAlignment="1">
      <alignment horizontal="center" vertical="top" textRotation="255"/>
    </xf>
    <xf numFmtId="0" fontId="19" fillId="0" borderId="8" xfId="4" applyFont="1" applyBorder="1" applyAlignment="1">
      <alignment horizontal="left" vertical="top"/>
    </xf>
    <xf numFmtId="167" fontId="19" fillId="0" borderId="8" xfId="5" applyNumberFormat="1" applyFont="1" applyBorder="1" applyAlignment="1">
      <alignment horizontal="left" vertical="top"/>
    </xf>
    <xf numFmtId="0" fontId="4" fillId="0" borderId="9" xfId="1" applyBorder="1" applyAlignment="1">
      <alignment horizontal="left" vertical="top"/>
    </xf>
    <xf numFmtId="0" fontId="19" fillId="0" borderId="9" xfId="4" applyFont="1" applyBorder="1" applyAlignment="1">
      <alignment horizontal="left" vertical="top"/>
    </xf>
    <xf numFmtId="0" fontId="19" fillId="7" borderId="9" xfId="4" applyFont="1" applyFill="1" applyBorder="1" applyAlignment="1">
      <alignment horizontal="left" vertical="top" wrapText="1"/>
    </xf>
    <xf numFmtId="0" fontId="13" fillId="7" borderId="11" xfId="4" applyFont="1" applyFill="1" applyBorder="1" applyAlignment="1">
      <alignment horizontal="left" vertical="top" wrapText="1"/>
    </xf>
    <xf numFmtId="0" fontId="19" fillId="7" borderId="11" xfId="4" applyFont="1" applyFill="1" applyBorder="1" applyAlignment="1">
      <alignment horizontal="center" vertical="top"/>
    </xf>
    <xf numFmtId="179" fontId="19" fillId="3" borderId="12" xfId="4" applyNumberFormat="1" applyFont="1" applyFill="1" applyBorder="1" applyAlignment="1">
      <alignment horizontal="left" vertical="top"/>
    </xf>
    <xf numFmtId="0" fontId="64" fillId="12" borderId="0" xfId="1" applyFont="1" applyFill="1" applyAlignment="1">
      <alignment horizontal="left" vertical="top"/>
    </xf>
    <xf numFmtId="0" fontId="19" fillId="7" borderId="6" xfId="4" applyFont="1" applyFill="1" applyBorder="1" applyAlignment="1">
      <alignment horizontal="left" vertical="top"/>
    </xf>
    <xf numFmtId="0" fontId="4" fillId="0" borderId="79" xfId="1" applyBorder="1"/>
    <xf numFmtId="0" fontId="4" fillId="0" borderId="79" xfId="1" applyBorder="1" applyAlignment="1">
      <alignment horizontal="left" vertical="top"/>
    </xf>
    <xf numFmtId="0" fontId="39" fillId="0" borderId="80" xfId="4" applyFont="1" applyBorder="1" applyAlignment="1">
      <alignment horizontal="left" vertical="top" wrapText="1"/>
    </xf>
    <xf numFmtId="0" fontId="57" fillId="0" borderId="81" xfId="4" applyFont="1" applyBorder="1" applyAlignment="1">
      <alignment horizontal="left" vertical="top" wrapText="1"/>
    </xf>
    <xf numFmtId="0" fontId="39" fillId="0" borderId="81" xfId="4" applyFont="1" applyBorder="1" applyAlignment="1">
      <alignment horizontal="left" vertical="top" wrapText="1"/>
    </xf>
    <xf numFmtId="3" fontId="19" fillId="0" borderId="81" xfId="4" applyNumberFormat="1" applyFont="1" applyBorder="1" applyAlignment="1">
      <alignment horizontal="left" vertical="top"/>
    </xf>
    <xf numFmtId="0" fontId="19" fillId="0" borderId="81" xfId="4" applyFont="1" applyBorder="1" applyAlignment="1">
      <alignment horizontal="left" vertical="top"/>
    </xf>
    <xf numFmtId="3" fontId="19" fillId="0" borderId="82" xfId="4" applyNumberFormat="1" applyFont="1" applyBorder="1" applyAlignment="1">
      <alignment horizontal="left" vertical="top"/>
    </xf>
    <xf numFmtId="3" fontId="19" fillId="0" borderId="16" xfId="4" applyNumberFormat="1" applyFont="1" applyBorder="1" applyAlignment="1">
      <alignment horizontal="left" vertical="top"/>
    </xf>
    <xf numFmtId="0" fontId="19" fillId="0" borderId="16" xfId="4" applyFont="1" applyBorder="1" applyAlignment="1">
      <alignment horizontal="left" vertical="top"/>
    </xf>
    <xf numFmtId="164" fontId="19" fillId="0" borderId="83" xfId="3" applyNumberFormat="1" applyFont="1" applyBorder="1" applyAlignment="1">
      <alignment horizontal="left" vertical="top"/>
    </xf>
    <xf numFmtId="0" fontId="20" fillId="0" borderId="83" xfId="1" applyFont="1" applyBorder="1" applyAlignment="1">
      <alignment horizontal="left" vertical="top"/>
    </xf>
    <xf numFmtId="0" fontId="4" fillId="0" borderId="83" xfId="1" applyBorder="1" applyAlignment="1">
      <alignment horizontal="left" vertical="top"/>
    </xf>
    <xf numFmtId="0" fontId="4" fillId="0" borderId="80" xfId="1" applyBorder="1" applyAlignment="1">
      <alignment horizontal="left" vertical="top"/>
    </xf>
    <xf numFmtId="0" fontId="19" fillId="0" borderId="80" xfId="4" applyFont="1" applyBorder="1" applyAlignment="1">
      <alignment horizontal="left" vertical="top"/>
    </xf>
    <xf numFmtId="0" fontId="19" fillId="7" borderId="80" xfId="4" applyFont="1" applyFill="1" applyBorder="1" applyAlignment="1">
      <alignment horizontal="left" vertical="top"/>
    </xf>
    <xf numFmtId="0" fontId="19" fillId="7" borderId="4" xfId="4" applyFont="1" applyFill="1" applyBorder="1" applyAlignment="1">
      <alignment horizontal="left" vertical="top"/>
    </xf>
    <xf numFmtId="0" fontId="19" fillId="0" borderId="82" xfId="4" applyFont="1" applyBorder="1" applyAlignment="1">
      <alignment horizontal="left" vertical="top"/>
    </xf>
    <xf numFmtId="179" fontId="19" fillId="3" borderId="79" xfId="4" applyNumberFormat="1" applyFont="1" applyFill="1" applyBorder="1" applyAlignment="1">
      <alignment horizontal="left" vertical="top"/>
    </xf>
    <xf numFmtId="167" fontId="19" fillId="0" borderId="84" xfId="5" applyNumberFormat="1" applyFont="1" applyBorder="1" applyAlignment="1">
      <alignment horizontal="left" vertical="top"/>
    </xf>
    <xf numFmtId="167" fontId="19" fillId="0" borderId="80" xfId="5" applyNumberFormat="1" applyFont="1" applyFill="1" applyBorder="1" applyAlignment="1">
      <alignment horizontal="left" vertical="top" wrapText="1"/>
    </xf>
    <xf numFmtId="0" fontId="50" fillId="0" borderId="82" xfId="1" applyFont="1" applyBorder="1" applyAlignment="1">
      <alignment horizontal="left" vertical="top"/>
    </xf>
    <xf numFmtId="0" fontId="19" fillId="0" borderId="83" xfId="4" applyFont="1" applyBorder="1" applyAlignment="1">
      <alignment horizontal="left" vertical="top"/>
    </xf>
    <xf numFmtId="0" fontId="19" fillId="0" borderId="83" xfId="4" applyFont="1" applyBorder="1" applyAlignment="1">
      <alignment horizontal="left" vertical="top" wrapText="1"/>
    </xf>
    <xf numFmtId="9" fontId="19" fillId="0" borderId="83" xfId="2" applyFont="1" applyBorder="1" applyAlignment="1">
      <alignment horizontal="left" vertical="top"/>
    </xf>
    <xf numFmtId="9" fontId="0" fillId="0" borderId="83" xfId="2" applyFont="1" applyBorder="1" applyAlignment="1">
      <alignment horizontal="left" vertical="top"/>
    </xf>
    <xf numFmtId="0" fontId="4" fillId="0" borderId="85" xfId="1" applyBorder="1" applyAlignment="1">
      <alignment horizontal="left" vertical="top" wrapText="1"/>
    </xf>
    <xf numFmtId="0" fontId="57" fillId="0" borderId="7" xfId="4" applyFont="1" applyBorder="1" applyAlignment="1">
      <alignment horizontal="left" vertical="top" wrapText="1"/>
    </xf>
    <xf numFmtId="0" fontId="39" fillId="0" borderId="7" xfId="4" applyFont="1" applyBorder="1" applyAlignment="1">
      <alignment horizontal="left" vertical="top" wrapText="1"/>
    </xf>
    <xf numFmtId="0" fontId="65" fillId="0" borderId="7" xfId="4" applyFont="1" applyBorder="1" applyAlignment="1">
      <alignment horizontal="left" vertical="top" wrapText="1"/>
    </xf>
    <xf numFmtId="0" fontId="66" fillId="0" borderId="0" xfId="1" applyFont="1" applyAlignment="1">
      <alignment vertical="top" wrapText="1"/>
    </xf>
    <xf numFmtId="0" fontId="7" fillId="3" borderId="41" xfId="1" applyFont="1" applyFill="1" applyBorder="1"/>
    <xf numFmtId="0" fontId="7" fillId="0" borderId="39" xfId="1" applyFont="1" applyBorder="1" applyAlignment="1">
      <alignment horizontal="left"/>
    </xf>
    <xf numFmtId="0" fontId="4" fillId="0" borderId="86" xfId="1" applyBorder="1" applyAlignment="1">
      <alignment horizontal="left" vertical="top"/>
    </xf>
    <xf numFmtId="0" fontId="66" fillId="0" borderId="39" xfId="1" applyFont="1" applyBorder="1" applyAlignment="1">
      <alignment horizontal="right"/>
    </xf>
    <xf numFmtId="0" fontId="66" fillId="0" borderId="39" xfId="1" applyFont="1" applyBorder="1" applyAlignment="1">
      <alignment horizontal="left"/>
    </xf>
    <xf numFmtId="0" fontId="0" fillId="0" borderId="87" xfId="4" applyFont="1" applyBorder="1" applyAlignment="1">
      <alignment horizontal="left" vertical="top"/>
    </xf>
    <xf numFmtId="164" fontId="67" fillId="0" borderId="0" xfId="3" applyNumberFormat="1" applyFont="1" applyBorder="1" applyAlignment="1">
      <alignment horizontal="left" vertical="top"/>
    </xf>
    <xf numFmtId="0" fontId="20" fillId="0" borderId="7" xfId="1" applyFont="1" applyBorder="1" applyAlignment="1">
      <alignment horizontal="left" vertical="top" wrapText="1"/>
    </xf>
    <xf numFmtId="182" fontId="7" fillId="3" borderId="18" xfId="1" applyNumberFormat="1" applyFont="1" applyFill="1" applyBorder="1" applyAlignment="1">
      <alignment wrapText="1"/>
    </xf>
    <xf numFmtId="0" fontId="19" fillId="0" borderId="18" xfId="1" applyFont="1" applyBorder="1" applyAlignment="1">
      <alignment wrapText="1"/>
    </xf>
    <xf numFmtId="0" fontId="19" fillId="7" borderId="7" xfId="4" applyFont="1" applyFill="1" applyBorder="1" applyAlignment="1">
      <alignment horizontal="left" vertical="top"/>
    </xf>
    <xf numFmtId="0" fontId="19" fillId="3" borderId="18" xfId="4" applyFont="1" applyFill="1" applyBorder="1" applyAlignment="1">
      <alignment horizontal="left"/>
    </xf>
    <xf numFmtId="0" fontId="19" fillId="0" borderId="8" xfId="4" applyFont="1" applyBorder="1" applyAlignment="1">
      <alignment horizontal="left"/>
    </xf>
    <xf numFmtId="183" fontId="19" fillId="3" borderId="7" xfId="4" applyNumberFormat="1" applyFont="1" applyFill="1" applyBorder="1" applyAlignment="1">
      <alignment horizontal="left"/>
    </xf>
    <xf numFmtId="167" fontId="19" fillId="0" borderId="8" xfId="5" applyNumberFormat="1" applyFont="1" applyBorder="1" applyAlignment="1">
      <alignment horizontal="left"/>
    </xf>
    <xf numFmtId="167" fontId="19" fillId="0" borderId="6" xfId="5" applyNumberFormat="1" applyFont="1" applyFill="1" applyBorder="1" applyAlignment="1">
      <alignment horizontal="left" wrapText="1"/>
    </xf>
    <xf numFmtId="184" fontId="19" fillId="0" borderId="18" xfId="4" applyNumberFormat="1" applyFont="1" applyBorder="1" applyAlignment="1">
      <alignment horizontal="center"/>
    </xf>
    <xf numFmtId="185" fontId="19" fillId="0" borderId="18" xfId="4" applyNumberFormat="1" applyFont="1" applyBorder="1" applyAlignment="1">
      <alignment horizontal="left" vertical="top"/>
    </xf>
    <xf numFmtId="0" fontId="19" fillId="0" borderId="18" xfId="4" applyFont="1" applyBorder="1" applyAlignment="1">
      <alignment horizontal="left" vertical="top"/>
    </xf>
    <xf numFmtId="9" fontId="19" fillId="0" borderId="18" xfId="2" applyFont="1" applyBorder="1" applyAlignment="1">
      <alignment horizontal="left" vertical="top"/>
    </xf>
    <xf numFmtId="0" fontId="65" fillId="0" borderId="12" xfId="4" applyFont="1" applyBorder="1" applyAlignment="1">
      <alignment horizontal="left" vertical="top" wrapText="1"/>
    </xf>
    <xf numFmtId="0" fontId="19" fillId="0" borderId="0" xfId="4" applyFont="1" applyAlignment="1">
      <alignment horizontal="left" vertical="top"/>
    </xf>
    <xf numFmtId="3" fontId="19" fillId="0" borderId="0" xfId="4" applyNumberFormat="1" applyFont="1" applyAlignment="1">
      <alignment horizontal="left" vertical="top"/>
    </xf>
    <xf numFmtId="0" fontId="7" fillId="3" borderId="88" xfId="1" applyFont="1" applyFill="1" applyBorder="1"/>
    <xf numFmtId="0" fontId="7" fillId="0" borderId="12" xfId="1" applyFont="1" applyBorder="1"/>
    <xf numFmtId="0" fontId="66" fillId="0" borderId="12" xfId="1" applyFont="1" applyBorder="1" applyAlignment="1">
      <alignment horizontal="right" vertical="center"/>
    </xf>
    <xf numFmtId="0" fontId="66" fillId="0" borderId="12" xfId="1" applyFont="1" applyBorder="1" applyAlignment="1">
      <alignment horizontal="left" wrapText="1"/>
    </xf>
    <xf numFmtId="0" fontId="66" fillId="0" borderId="48" xfId="1" applyFont="1" applyBorder="1" applyAlignment="1">
      <alignment horizontal="left" wrapText="1"/>
    </xf>
    <xf numFmtId="182" fontId="7" fillId="3" borderId="11" xfId="1" applyNumberFormat="1" applyFont="1" applyFill="1" applyBorder="1" applyAlignment="1">
      <alignment wrapText="1"/>
    </xf>
    <xf numFmtId="0" fontId="19" fillId="0" borderId="11" xfId="1" applyFont="1" applyBorder="1" applyAlignment="1">
      <alignment wrapText="1"/>
    </xf>
    <xf numFmtId="0" fontId="19" fillId="7" borderId="12" xfId="4" applyFont="1" applyFill="1" applyBorder="1" applyAlignment="1">
      <alignment horizontal="left" vertical="top"/>
    </xf>
    <xf numFmtId="0" fontId="19" fillId="7" borderId="9" xfId="4" applyFont="1" applyFill="1" applyBorder="1" applyAlignment="1">
      <alignment horizontal="left" vertical="top"/>
    </xf>
    <xf numFmtId="0" fontId="19" fillId="3" borderId="11" xfId="4" applyFont="1" applyFill="1" applyBorder="1" applyAlignment="1">
      <alignment horizontal="left"/>
    </xf>
    <xf numFmtId="167" fontId="19" fillId="0" borderId="9" xfId="5" applyNumberFormat="1" applyFont="1" applyFill="1" applyBorder="1" applyAlignment="1">
      <alignment horizontal="left" wrapText="1"/>
    </xf>
    <xf numFmtId="184" fontId="19" fillId="0" borderId="11" xfId="4" applyNumberFormat="1" applyFont="1" applyBorder="1" applyAlignment="1">
      <alignment horizontal="center"/>
    </xf>
    <xf numFmtId="0" fontId="7" fillId="3" borderId="89" xfId="1" applyFont="1" applyFill="1" applyBorder="1"/>
    <xf numFmtId="0" fontId="7" fillId="0" borderId="90" xfId="1" applyFont="1" applyBorder="1"/>
    <xf numFmtId="0" fontId="4" fillId="0" borderId="58" xfId="1" applyBorder="1" applyAlignment="1">
      <alignment horizontal="left" vertical="top"/>
    </xf>
    <xf numFmtId="0" fontId="66" fillId="0" borderId="90" xfId="1" applyFont="1" applyBorder="1" applyAlignment="1">
      <alignment horizontal="right"/>
    </xf>
    <xf numFmtId="0" fontId="66" fillId="0" borderId="90" xfId="1" applyFont="1" applyBorder="1" applyAlignment="1">
      <alignment horizontal="left"/>
    </xf>
    <xf numFmtId="0" fontId="0" fillId="0" borderId="51" xfId="4" applyFont="1" applyBorder="1" applyAlignment="1">
      <alignment horizontal="left" vertical="top"/>
    </xf>
    <xf numFmtId="164" fontId="67" fillId="0" borderId="4" xfId="3" applyNumberFormat="1" applyFont="1" applyBorder="1" applyAlignment="1">
      <alignment horizontal="left" vertical="top"/>
    </xf>
    <xf numFmtId="186" fontId="19" fillId="3" borderId="7" xfId="4" applyNumberFormat="1" applyFont="1" applyFill="1" applyBorder="1" applyAlignment="1">
      <alignment horizontal="left"/>
    </xf>
    <xf numFmtId="0" fontId="41" fillId="0" borderId="0" xfId="6" applyAlignment="1">
      <alignment horizontal="left" vertical="top" wrapText="1"/>
    </xf>
    <xf numFmtId="3" fontId="19" fillId="0" borderId="7" xfId="4" applyNumberFormat="1" applyFont="1" applyBorder="1" applyAlignment="1">
      <alignment horizontal="left" vertical="top"/>
    </xf>
    <xf numFmtId="0" fontId="4" fillId="0" borderId="8" xfId="1" applyBorder="1" applyAlignment="1">
      <alignment horizontal="left" vertical="top"/>
    </xf>
    <xf numFmtId="164" fontId="67" fillId="0" borderId="6" xfId="3" applyNumberFormat="1" applyFont="1" applyBorder="1" applyAlignment="1">
      <alignment horizontal="left" vertical="top"/>
    </xf>
    <xf numFmtId="0" fontId="20" fillId="0" borderId="12" xfId="1" applyFont="1" applyBorder="1" applyAlignment="1">
      <alignment horizontal="left" vertical="top" wrapText="1"/>
    </xf>
    <xf numFmtId="187" fontId="19" fillId="3" borderId="7" xfId="4" applyNumberFormat="1" applyFont="1" applyFill="1" applyBorder="1" applyAlignment="1">
      <alignment horizontal="left"/>
    </xf>
    <xf numFmtId="0" fontId="68" fillId="0" borderId="0" xfId="1" applyFont="1" applyAlignment="1">
      <alignment horizontal="left" vertical="top"/>
    </xf>
    <xf numFmtId="0" fontId="4" fillId="0" borderId="2" xfId="1" applyBorder="1" applyAlignment="1">
      <alignment horizontal="left" vertical="top"/>
    </xf>
    <xf numFmtId="0" fontId="69" fillId="0" borderId="2" xfId="1" applyFont="1" applyBorder="1" applyAlignment="1">
      <alignment horizontal="left" vertical="top"/>
    </xf>
    <xf numFmtId="0" fontId="20" fillId="0" borderId="2" xfId="1" applyFont="1" applyBorder="1" applyAlignment="1">
      <alignment horizontal="left" vertical="top"/>
    </xf>
    <xf numFmtId="0" fontId="68" fillId="0" borderId="2" xfId="1" applyFont="1" applyBorder="1" applyAlignment="1">
      <alignment horizontal="left" vertical="top"/>
    </xf>
    <xf numFmtId="0" fontId="4" fillId="0" borderId="2" xfId="1" applyBorder="1" applyAlignment="1">
      <alignment horizontal="left" vertical="top" wrapText="1"/>
    </xf>
    <xf numFmtId="0" fontId="13" fillId="0" borderId="0" xfId="1" applyFont="1" applyAlignment="1">
      <alignment horizontal="left" vertical="top"/>
    </xf>
    <xf numFmtId="0" fontId="4" fillId="0" borderId="2" xfId="1" applyBorder="1" applyAlignment="1">
      <alignment horizontal="right" vertical="center"/>
    </xf>
    <xf numFmtId="0" fontId="4" fillId="3" borderId="2" xfId="1" applyFill="1" applyBorder="1" applyAlignment="1">
      <alignment horizontal="right" vertical="center"/>
    </xf>
    <xf numFmtId="0" fontId="4" fillId="0" borderId="0" xfId="1" applyAlignment="1">
      <alignment horizontal="right" vertical="center"/>
    </xf>
    <xf numFmtId="0" fontId="4" fillId="0" borderId="0" xfId="1" applyAlignment="1">
      <alignment horizontal="right"/>
    </xf>
    <xf numFmtId="0" fontId="4" fillId="3" borderId="0" xfId="1" applyFill="1" applyAlignment="1">
      <alignment horizontal="right" vertical="center"/>
    </xf>
    <xf numFmtId="0" fontId="4" fillId="3" borderId="0" xfId="1" applyFill="1"/>
    <xf numFmtId="0" fontId="47" fillId="0" borderId="0" xfId="1" applyFont="1" applyAlignment="1">
      <alignment horizontal="left"/>
    </xf>
    <xf numFmtId="0" fontId="4" fillId="0" borderId="7" xfId="1" applyBorder="1" applyAlignment="1">
      <alignment horizontal="right" vertical="center"/>
    </xf>
    <xf numFmtId="0" fontId="4" fillId="0" borderId="0" xfId="1" applyAlignment="1">
      <alignment vertical="center"/>
    </xf>
    <xf numFmtId="188" fontId="0" fillId="4" borderId="11" xfId="3" applyNumberFormat="1" applyFont="1" applyFill="1" applyBorder="1" applyAlignment="1">
      <alignment horizontal="left" vertical="top" wrapText="1"/>
    </xf>
    <xf numFmtId="0" fontId="4" fillId="0" borderId="0" xfId="1" applyAlignment="1">
      <alignment horizontal="center" vertical="center"/>
    </xf>
    <xf numFmtId="0" fontId="48" fillId="0" borderId="0" xfId="1" applyFont="1" applyAlignment="1">
      <alignment horizontal="center" wrapText="1"/>
    </xf>
    <xf numFmtId="0" fontId="39" fillId="0" borderId="91" xfId="1" applyFont="1" applyBorder="1" applyAlignment="1">
      <alignment horizontal="right"/>
    </xf>
    <xf numFmtId="167" fontId="39" fillId="0" borderId="92" xfId="5" applyNumberFormat="1" applyFont="1" applyBorder="1" applyAlignment="1"/>
    <xf numFmtId="0" fontId="48" fillId="0" borderId="0" xfId="1" applyFont="1" applyAlignment="1">
      <alignment wrapText="1"/>
    </xf>
    <xf numFmtId="0" fontId="4" fillId="0" borderId="93" xfId="1" applyBorder="1"/>
    <xf numFmtId="0" fontId="9" fillId="0" borderId="93" xfId="1" applyFont="1" applyBorder="1"/>
    <xf numFmtId="189" fontId="4" fillId="0" borderId="92" xfId="1" applyNumberFormat="1" applyBorder="1"/>
    <xf numFmtId="2" fontId="4" fillId="0" borderId="94" xfId="1" applyNumberFormat="1" applyBorder="1" applyAlignment="1">
      <alignment horizontal="right"/>
    </xf>
    <xf numFmtId="167" fontId="0" fillId="0" borderId="92" xfId="5" applyNumberFormat="1" applyFont="1" applyBorder="1" applyAlignment="1"/>
    <xf numFmtId="0" fontId="6" fillId="0" borderId="0" xfId="1" applyFont="1" applyAlignment="1">
      <alignment horizontal="right"/>
    </xf>
    <xf numFmtId="167" fontId="0" fillId="0" borderId="95" xfId="5" applyNumberFormat="1" applyFont="1" applyBorder="1"/>
    <xf numFmtId="0" fontId="19" fillId="0" borderId="0" xfId="1" applyFont="1" applyAlignment="1">
      <alignment vertical="top" wrapText="1"/>
    </xf>
    <xf numFmtId="2" fontId="4" fillId="0" borderId="0" xfId="1" applyNumberFormat="1"/>
    <xf numFmtId="2" fontId="4" fillId="0" borderId="0" xfId="1" applyNumberFormat="1" applyAlignment="1">
      <alignment horizontal="right"/>
    </xf>
    <xf numFmtId="167" fontId="0" fillId="0" borderId="0" xfId="5" applyNumberFormat="1" applyFont="1"/>
    <xf numFmtId="0" fontId="65" fillId="0" borderId="0" xfId="1" applyFont="1"/>
    <xf numFmtId="2" fontId="39" fillId="0" borderId="0" xfId="1" applyNumberFormat="1" applyFont="1"/>
    <xf numFmtId="1" fontId="39" fillId="0" borderId="91" xfId="1" applyNumberFormat="1" applyFont="1" applyBorder="1" applyAlignment="1">
      <alignment horizontal="right"/>
    </xf>
    <xf numFmtId="2" fontId="4" fillId="0" borderId="92" xfId="1" applyNumberFormat="1" applyBorder="1"/>
  </cellXfs>
  <cellStyles count="9">
    <cellStyle name="Komma 2" xfId="3" xr:uid="{0B73963C-D199-4C03-90EF-A21170AD08F5}"/>
    <cellStyle name="Link 2" xfId="6" xr:uid="{FAC40473-B466-4E9D-A755-8C442AC5FEBB}"/>
    <cellStyle name="Prozent 2" xfId="2" xr:uid="{9A59DA3F-E0FB-4632-850F-83E498F7EB60}"/>
    <cellStyle name="Standard" xfId="0" builtinId="0"/>
    <cellStyle name="Standard 2" xfId="1" xr:uid="{F5AA431E-C84B-4EA7-963D-CB18787E9791}"/>
    <cellStyle name="Standard 2 2" xfId="8" xr:uid="{96F47C8A-15AA-434C-B28D-159F4E4CD2DF}"/>
    <cellStyle name="Standard 2 5 2" xfId="4" xr:uid="{42B82256-C22D-481B-86D3-3EE732C476AF}"/>
    <cellStyle name="Standard 6 3 2" xfId="7" xr:uid="{D89D200A-F933-492C-BF82-DDD85BC1A5AE}"/>
    <cellStyle name="Währung 2" xfId="5" xr:uid="{94618E27-5AA8-4271-95FB-17AF17809443}"/>
  </cellStyles>
  <dxfs count="13">
    <dxf>
      <fill>
        <patternFill>
          <bgColor theme="9"/>
        </patternFill>
      </fill>
    </dxf>
    <dxf>
      <fill>
        <patternFill>
          <bgColor rgb="FFFFFF00"/>
        </patternFill>
      </fill>
    </dxf>
    <dxf>
      <fill>
        <patternFill>
          <bgColor rgb="FFFF0000"/>
        </patternFill>
      </fill>
    </dxf>
    <dxf>
      <font>
        <b/>
        <i val="0"/>
        <color rgb="FFFF0000"/>
      </font>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theme="0"/>
        </patternFill>
      </fill>
    </dxf>
    <dxf>
      <fill>
        <patternFill>
          <bgColor rgb="FF92D050"/>
        </patternFill>
      </fill>
    </dxf>
    <dxf>
      <fill>
        <patternFill>
          <bgColor rgb="FF92D05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1"/>
        <c:ser>
          <c:idx val="1"/>
          <c:order val="0"/>
          <c:tx>
            <c:v>kWh/m²a Heiz &amp; Strom</c:v>
          </c:tx>
          <c:spPr>
            <a:solidFill>
              <a:schemeClr val="accent2">
                <a:lumMod val="75000"/>
              </a:schemeClr>
            </a:solidFill>
            <a:ln w="9525" cap="flat" cmpd="sng" algn="ctr">
              <a:solidFill>
                <a:sysClr val="windowText" lastClr="000000"/>
              </a:solidFill>
              <a:round/>
            </a:ln>
            <a:effectLst/>
          </c:spPr>
          <c:invertIfNegative val="0"/>
          <c:dLbls>
            <c:dLbl>
              <c:idx val="0"/>
              <c:tx>
                <c:rich>
                  <a:bodyPr/>
                  <a:lstStyle/>
                  <a:p>
                    <a:fld id="{28C459E3-7738-4965-9681-8D841422D4BA}" type="CELLRANGE">
                      <a:rPr lang="en-US" baseline="0"/>
                      <a:pPr/>
                      <a:t>[ZELLBEREICH]</a:t>
                    </a:fld>
                    <a:r>
                      <a:rPr lang="en-US" baseline="0"/>
                      <a:t> </a:t>
                    </a:r>
                    <a:fld id="{3E7FF130-A4DA-4AF5-B11D-ADB355D1631F}" type="SERIESNAME">
                      <a:rPr lang="en-US" baseline="0"/>
                      <a:pPr/>
                      <a:t>[DATENREIHENNAME]</a:t>
                    </a:fld>
                    <a:endParaRPr lang="en-US" baseline="0"/>
                  </a:p>
                </c:rich>
              </c:tx>
              <c:dLblPos val="inBase"/>
              <c:showLegendKey val="0"/>
              <c:showVal val="0"/>
              <c:showCatName val="0"/>
              <c:showSerName val="1"/>
              <c:showPercent val="0"/>
              <c:showBubbleSize val="0"/>
              <c:separator> </c:separator>
              <c:extLst>
                <c:ext xmlns:c15="http://schemas.microsoft.com/office/drawing/2012/chart" uri="{CE6537A1-D6FC-4f65-9D91-7224C49458BB}">
                  <c15:layout>
                    <c:manualLayout>
                      <c:w val="0.80661939390646276"/>
                      <c:h val="0.47546572908623391"/>
                    </c:manualLayout>
                  </c15:layout>
                  <c15:dlblFieldTable/>
                  <c15:showDataLabelsRange val="1"/>
                </c:ext>
                <c:ext xmlns:c16="http://schemas.microsoft.com/office/drawing/2014/chart" uri="{C3380CC4-5D6E-409C-BE32-E72D297353CC}">
                  <c16:uniqueId val="{00000000-8471-46E0-9F26-63C18F5016A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dk1">
                          <a:lumMod val="50000"/>
                          <a:lumOff val="50000"/>
                        </a:schemeClr>
                      </a:solidFill>
                    </a:ln>
                    <a:effectLst/>
                  </c:spPr>
                </c15:leaderLines>
              </c:ext>
            </c:extLst>
          </c:dLbls>
          <c:cat>
            <c:numRef>
              <c:f>übersicht!$AT$120</c:f>
              <c:numCache>
                <c:formatCode>0</c:formatCode>
                <c:ptCount val="1"/>
                <c:pt idx="0">
                  <c:v>147.34299516908212</c:v>
                </c:pt>
              </c:numCache>
            </c:numRef>
          </c:cat>
          <c:val>
            <c:numRef>
              <c:f>übersicht!$AT$121</c:f>
              <c:numCache>
                <c:formatCode>0</c:formatCode>
                <c:ptCount val="1"/>
                <c:pt idx="0">
                  <c:v>176.32850241545893</c:v>
                </c:pt>
              </c:numCache>
            </c:numRef>
          </c:val>
          <c:extLst>
            <c:ext xmlns:c15="http://schemas.microsoft.com/office/drawing/2012/chart" uri="{02D57815-91ED-43cb-92C2-25804820EDAC}">
              <c15:datalabelsRange>
                <c15:f>übersicht!$AT$121</c15:f>
                <c15:dlblRangeCache>
                  <c:ptCount val="1"/>
                  <c:pt idx="0">
                    <c:v>176</c:v>
                  </c:pt>
                </c15:dlblRangeCache>
              </c15:datalabelsRange>
            </c:ext>
            <c:ext xmlns:c16="http://schemas.microsoft.com/office/drawing/2014/chart" uri="{C3380CC4-5D6E-409C-BE32-E72D297353CC}">
              <c16:uniqueId val="{00000001-8471-46E0-9F26-63C18F5016AA}"/>
            </c:ext>
          </c:extLst>
        </c:ser>
        <c:ser>
          <c:idx val="0"/>
          <c:order val="1"/>
          <c:tx>
            <c:v>kWh/m²a</c:v>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rgbClr val="FF0000">
                  <a:alpha val="85000"/>
                </a:srgbClr>
              </a:solidFill>
              <a:ln w="9525" cap="flat" cmpd="sng" algn="ctr">
                <a:solidFill>
                  <a:sysClr val="windowText" lastClr="000000"/>
                </a:solidFill>
                <a:round/>
              </a:ln>
              <a:effectLst/>
            </c:spPr>
            <c:extLst>
              <c:ext xmlns:c16="http://schemas.microsoft.com/office/drawing/2014/chart" uri="{C3380CC4-5D6E-409C-BE32-E72D297353CC}">
                <c16:uniqueId val="{00000003-8471-46E0-9F26-63C18F5016AA}"/>
              </c:ext>
            </c:extLst>
          </c:dPt>
          <c:dLbls>
            <c:dLbl>
              <c:idx val="0"/>
              <c:tx>
                <c:rich>
                  <a:bodyPr/>
                  <a:lstStyle/>
                  <a:p>
                    <a:fld id="{ABC84B04-96B3-4512-B0C0-C94B297D9251}" type="SERIESNAME">
                      <a:rPr lang="en-US" baseline="0">
                        <a:solidFill>
                          <a:sysClr val="windowText" lastClr="000000"/>
                        </a:solidFill>
                      </a:rPr>
                      <a:pPr/>
                      <a:t>[DATENREIHENNAME]</a:t>
                    </a:fld>
                    <a:r>
                      <a:rPr lang="en-US" baseline="0">
                        <a:solidFill>
                          <a:sysClr val="windowText" lastClr="000000"/>
                        </a:solidFill>
                      </a:rPr>
                      <a:t>; </a:t>
                    </a:r>
                    <a:fld id="{9153534F-3353-4AD8-B590-60A269A94C69}" type="VALUE">
                      <a:rPr lang="en-US" baseline="0">
                        <a:solidFill>
                          <a:sysClr val="windowText" lastClr="000000"/>
                        </a:solidFill>
                      </a:rPr>
                      <a:pPr/>
                      <a:t>[WERT]</a:t>
                    </a:fld>
                    <a:endParaRPr lang="en-US" baseline="0">
                      <a:solidFill>
                        <a:sysClr val="windowText" lastClr="000000"/>
                      </a:solidFill>
                    </a:endParaRPr>
                  </a:p>
                </c:rich>
              </c:tx>
              <c:dLblPos val="inBase"/>
              <c:showLegendKey val="0"/>
              <c:showVal val="1"/>
              <c:showCatName val="0"/>
              <c:showSerName val="1"/>
              <c:showPercent val="0"/>
              <c:showBubbleSize val="0"/>
              <c:extLst>
                <c:ext xmlns:c15="http://schemas.microsoft.com/office/drawing/2012/chart" uri="{CE6537A1-D6FC-4f65-9D91-7224C49458BB}">
                  <c15:layout>
                    <c:manualLayout>
                      <c:w val="0.65989659676663293"/>
                      <c:h val="0.47546572908623391"/>
                    </c:manualLayout>
                  </c15:layout>
                  <c15:dlblFieldTable/>
                  <c15:showDataLabelsRange val="0"/>
                </c:ext>
                <c:ext xmlns:c16="http://schemas.microsoft.com/office/drawing/2014/chart" uri="{C3380CC4-5D6E-409C-BE32-E72D297353CC}">
                  <c16:uniqueId val="{00000003-8471-46E0-9F26-63C18F5016A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übersicht!$AT$120</c:f>
              <c:numCache>
                <c:formatCode>0</c:formatCode>
                <c:ptCount val="1"/>
                <c:pt idx="0">
                  <c:v>147.34299516908212</c:v>
                </c:pt>
              </c:numCache>
            </c:numRef>
          </c:cat>
          <c:val>
            <c:numRef>
              <c:f>übersicht!$AT$120</c:f>
              <c:numCache>
                <c:formatCode>0</c:formatCode>
                <c:ptCount val="1"/>
                <c:pt idx="0">
                  <c:v>147.34299516908212</c:v>
                </c:pt>
              </c:numCache>
            </c:numRef>
          </c:val>
          <c:extLst>
            <c:ext xmlns:c16="http://schemas.microsoft.com/office/drawing/2014/chart" uri="{C3380CC4-5D6E-409C-BE32-E72D297353CC}">
              <c16:uniqueId val="{00000004-8471-46E0-9F26-63C18F5016AA}"/>
            </c:ext>
          </c:extLst>
        </c:ser>
        <c:dLbls>
          <c:dLblPos val="inEnd"/>
          <c:showLegendKey val="0"/>
          <c:showVal val="1"/>
          <c:showCatName val="0"/>
          <c:showSerName val="0"/>
          <c:showPercent val="0"/>
          <c:showBubbleSize val="0"/>
        </c:dLbls>
        <c:gapWidth val="65"/>
        <c:axId val="1088054703"/>
        <c:axId val="1088053455"/>
      </c:barChart>
      <c:catAx>
        <c:axId val="1088054703"/>
        <c:scaling>
          <c:orientation val="minMax"/>
        </c:scaling>
        <c:delete val="1"/>
        <c:axPos val="l"/>
        <c:numFmt formatCode="0" sourceLinked="1"/>
        <c:majorTickMark val="none"/>
        <c:minorTickMark val="none"/>
        <c:tickLblPos val="nextTo"/>
        <c:crossAx val="1088053455"/>
        <c:crosses val="autoZero"/>
        <c:auto val="1"/>
        <c:lblAlgn val="ctr"/>
        <c:lblOffset val="100"/>
        <c:noMultiLvlLbl val="0"/>
      </c:catAx>
      <c:valAx>
        <c:axId val="1088053455"/>
        <c:scaling>
          <c:orientation val="minMax"/>
          <c:max val="250"/>
          <c:min val="0"/>
        </c:scaling>
        <c:delete val="1"/>
        <c:axPos val="b"/>
        <c:numFmt formatCode="0" sourceLinked="1"/>
        <c:majorTickMark val="none"/>
        <c:minorTickMark val="none"/>
        <c:tickLblPos val="nextTo"/>
        <c:crossAx val="108805470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[2]Tabelle1!$A$2:$A$13</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[2]Tabelle1!$B$2:$B$13</c:f>
              <c:numCache>
                <c:formatCode>General</c:formatCode>
                <c:ptCount val="12"/>
                <c:pt idx="0">
                  <c:v>72.5</c:v>
                </c:pt>
                <c:pt idx="1">
                  <c:v>85.8</c:v>
                </c:pt>
                <c:pt idx="2">
                  <c:v>338.7</c:v>
                </c:pt>
                <c:pt idx="3">
                  <c:v>621.4</c:v>
                </c:pt>
                <c:pt idx="4">
                  <c:v>648.70000000000005</c:v>
                </c:pt>
                <c:pt idx="5">
                  <c:v>696.6</c:v>
                </c:pt>
                <c:pt idx="6">
                  <c:v>534.4</c:v>
                </c:pt>
                <c:pt idx="7">
                  <c:v>423.7</c:v>
                </c:pt>
                <c:pt idx="8">
                  <c:v>364.1</c:v>
                </c:pt>
                <c:pt idx="9">
                  <c:v>301.2</c:v>
                </c:pt>
                <c:pt idx="10">
                  <c:v>50.5</c:v>
                </c:pt>
                <c:pt idx="11">
                  <c:v>21.1</c:v>
                </c:pt>
              </c:numCache>
            </c:numRef>
          </c:val>
          <c:extLst>
            <c:ext xmlns:c16="http://schemas.microsoft.com/office/drawing/2014/chart" uri="{C3380CC4-5D6E-409C-BE32-E72D297353CC}">
              <c16:uniqueId val="{00000000-8E1D-4673-98AC-8656FDF91D61}"/>
            </c:ext>
          </c:extLst>
        </c:ser>
        <c:ser>
          <c:idx val="1"/>
          <c:order val="1"/>
          <c:spPr>
            <a:solidFill>
              <a:schemeClr val="accent2"/>
            </a:solidFill>
            <a:ln>
              <a:noFill/>
            </a:ln>
            <a:effectLst/>
          </c:spPr>
          <c:invertIfNegative val="0"/>
          <c:cat>
            <c:strRef>
              <c:f>[2]Tabelle1!$A$2:$A$13</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[2]Tabelle1!$C$2:$C$13</c:f>
              <c:numCache>
                <c:formatCode>General</c:formatCode>
                <c:ptCount val="12"/>
                <c:pt idx="0">
                  <c:v>81.8</c:v>
                </c:pt>
                <c:pt idx="1">
                  <c:v>89.5</c:v>
                </c:pt>
                <c:pt idx="2">
                  <c:v>155.30000000000001</c:v>
                </c:pt>
                <c:pt idx="3">
                  <c:v>186.3</c:v>
                </c:pt>
                <c:pt idx="4">
                  <c:v>203.4</c:v>
                </c:pt>
                <c:pt idx="5">
                  <c:v>191.4</c:v>
                </c:pt>
                <c:pt idx="6">
                  <c:v>178.9</c:v>
                </c:pt>
                <c:pt idx="7">
                  <c:v>169.5</c:v>
                </c:pt>
                <c:pt idx="8">
                  <c:v>146.9</c:v>
                </c:pt>
                <c:pt idx="9">
                  <c:v>131.9</c:v>
                </c:pt>
                <c:pt idx="10">
                  <c:v>57</c:v>
                </c:pt>
                <c:pt idx="11">
                  <c:v>34.1</c:v>
                </c:pt>
              </c:numCache>
            </c:numRef>
          </c:val>
          <c:extLst>
            <c:ext xmlns:c16="http://schemas.microsoft.com/office/drawing/2014/chart" uri="{C3380CC4-5D6E-409C-BE32-E72D297353CC}">
              <c16:uniqueId val="{00000001-8E1D-4673-98AC-8656FDF91D61}"/>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[2]Tabelle1!$A$2:$A$13</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[2]Tabelle1!$D$2:$D$13</c:f>
              <c:numCache>
                <c:formatCode>General</c:formatCode>
                <c:ptCount val="12"/>
                <c:pt idx="0">
                  <c:v>154.30000000000001</c:v>
                </c:pt>
                <c:pt idx="1">
                  <c:v>175.3</c:v>
                </c:pt>
                <c:pt idx="2">
                  <c:v>494</c:v>
                </c:pt>
                <c:pt idx="3">
                  <c:v>807.7</c:v>
                </c:pt>
                <c:pt idx="4">
                  <c:v>852.1</c:v>
                </c:pt>
                <c:pt idx="5">
                  <c:v>888</c:v>
                </c:pt>
                <c:pt idx="6">
                  <c:v>713.3</c:v>
                </c:pt>
                <c:pt idx="7">
                  <c:v>593.20000000000005</c:v>
                </c:pt>
                <c:pt idx="8">
                  <c:v>511</c:v>
                </c:pt>
                <c:pt idx="9">
                  <c:v>433.1</c:v>
                </c:pt>
                <c:pt idx="10">
                  <c:v>107.5</c:v>
                </c:pt>
                <c:pt idx="11">
                  <c:v>55.2</c:v>
                </c:pt>
              </c:numCache>
            </c:numRef>
          </c:val>
          <c:extLst>
            <c:ext xmlns:c16="http://schemas.microsoft.com/office/drawing/2014/chart" uri="{C3380CC4-5D6E-409C-BE32-E72D297353CC}">
              <c16:uniqueId val="{00000002-8E1D-4673-98AC-8656FDF91D61}"/>
            </c:ext>
          </c:extLst>
        </c:ser>
        <c:ser>
          <c:idx val="3"/>
          <c:order val="3"/>
          <c:spPr>
            <a:solidFill>
              <a:schemeClr val="accent4"/>
            </a:solidFill>
            <a:ln>
              <a:noFill/>
            </a:ln>
            <a:effectLst/>
          </c:spPr>
          <c:invertIfNegative val="0"/>
          <c:cat>
            <c:strRef>
              <c:f>[2]Tabelle1!$A$2:$A$13</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[2]Tabelle1!$E$2:$E$13</c:f>
              <c:numCache>
                <c:formatCode>General</c:formatCode>
                <c:ptCount val="12"/>
              </c:numCache>
            </c:numRef>
          </c:val>
          <c:extLst>
            <c:ext xmlns:c16="http://schemas.microsoft.com/office/drawing/2014/chart" uri="{C3380CC4-5D6E-409C-BE32-E72D297353CC}">
              <c16:uniqueId val="{00000003-8E1D-4673-98AC-8656FDF91D61}"/>
            </c:ext>
          </c:extLst>
        </c:ser>
        <c:dLbls>
          <c:showLegendKey val="0"/>
          <c:showVal val="0"/>
          <c:showCatName val="0"/>
          <c:showSerName val="0"/>
          <c:showPercent val="0"/>
          <c:showBubbleSize val="0"/>
        </c:dLbls>
        <c:gapWidth val="219"/>
        <c:overlap val="-27"/>
        <c:axId val="1353869536"/>
        <c:axId val="1353856640"/>
      </c:barChart>
      <c:catAx>
        <c:axId val="135386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53856640"/>
        <c:crosses val="autoZero"/>
        <c:auto val="1"/>
        <c:lblAlgn val="ctr"/>
        <c:lblOffset val="100"/>
        <c:noMultiLvlLbl val="0"/>
      </c:catAx>
      <c:valAx>
        <c:axId val="1353856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53869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9.png"/><Relationship Id="rId18" Type="http://schemas.openxmlformats.org/officeDocument/2006/relationships/image" Target="../media/image13.png"/><Relationship Id="rId26" Type="http://schemas.openxmlformats.org/officeDocument/2006/relationships/image" Target="../media/image19.png"/><Relationship Id="rId3" Type="http://schemas.openxmlformats.org/officeDocument/2006/relationships/hyperlink" Target="https://www.stromspiegel.de/fileadmin/ssi/stromspiegel/Broschuere/stromspiegel-2021.pdf" TargetMode="External"/><Relationship Id="rId21" Type="http://schemas.openxmlformats.org/officeDocument/2006/relationships/image" Target="../media/image15.png"/><Relationship Id="rId7" Type="http://schemas.openxmlformats.org/officeDocument/2006/relationships/image" Target="../media/image4.png"/><Relationship Id="rId12" Type="http://schemas.openxmlformats.org/officeDocument/2006/relationships/image" Target="../media/image8.png"/><Relationship Id="rId17" Type="http://schemas.microsoft.com/office/2017/06/relationships/model3d" Target="../media/model3d1.glb"/><Relationship Id="rId25" Type="http://schemas.openxmlformats.org/officeDocument/2006/relationships/image" Target="../media/image18.png"/><Relationship Id="rId33" Type="http://schemas.openxmlformats.org/officeDocument/2006/relationships/image" Target="../media/image21.emf"/><Relationship Id="rId2" Type="http://schemas.openxmlformats.org/officeDocument/2006/relationships/image" Target="../media/image1.png"/><Relationship Id="rId16" Type="http://schemas.openxmlformats.org/officeDocument/2006/relationships/image" Target="../media/image12.png"/><Relationship Id="rId20" Type="http://schemas.openxmlformats.org/officeDocument/2006/relationships/image" Target="../media/image14.png"/><Relationship Id="rId29" Type="http://schemas.openxmlformats.org/officeDocument/2006/relationships/hyperlink" Target="https://www.homepowersolutions.de/produkt/" TargetMode="External"/><Relationship Id="rId1" Type="http://schemas.openxmlformats.org/officeDocument/2006/relationships/hyperlink" Target="https://www.verbraucherzentrale-rlp.de/sites/default/files/2017-11/Einleger_Kostenvergleich_Heizungen%2024_08_2017_0.pdf" TargetMode="External"/><Relationship Id="rId6" Type="http://schemas.openxmlformats.org/officeDocument/2006/relationships/image" Target="../media/image3.png"/><Relationship Id="rId11" Type="http://schemas.openxmlformats.org/officeDocument/2006/relationships/image" Target="../media/image7.png"/><Relationship Id="rId24" Type="http://schemas.openxmlformats.org/officeDocument/2006/relationships/chart" Target="../charts/chart2.xml"/><Relationship Id="rId32" Type="http://schemas.openxmlformats.org/officeDocument/2006/relationships/hyperlink" Target="https://1heiz-pellets.de/docs/Stiftung_Warentest_Test-Holzpellets.pdf" TargetMode="External"/><Relationship Id="rId5" Type="http://schemas.openxmlformats.org/officeDocument/2006/relationships/hyperlink" Target="https://www.co2online.de/fileadmin/hs/heizspiegel/heizspiegel-2020/heizspiegel-2020.pdf" TargetMode="External"/><Relationship Id="rId15" Type="http://schemas.openxmlformats.org/officeDocument/2006/relationships/image" Target="../media/image11.png"/><Relationship Id="rId23" Type="http://schemas.openxmlformats.org/officeDocument/2006/relationships/image" Target="../media/image17.jpeg"/><Relationship Id="rId28" Type="http://schemas.openxmlformats.org/officeDocument/2006/relationships/hyperlink" Target="https://www.kfw.de/inlandsfoerderung/Privatpersonen/Bestandsimmobilie/F%C3%B6rderprodukte/Energieeffizient-Bauen-und-Sanieren-Zuschuss-Brennstoffzelle-(433)/" TargetMode="External"/><Relationship Id="rId10" Type="http://schemas.openxmlformats.org/officeDocument/2006/relationships/image" Target="../media/image6.png"/><Relationship Id="rId19" Type="http://schemas.microsoft.com/office/2017/06/relationships/model3d" Target="../media/model3d2.glb"/><Relationship Id="rId31" Type="http://schemas.openxmlformats.org/officeDocument/2006/relationships/hyperlink" Target="https://www.carmen-ev.de/wp-content/uploads/2020/12/CARMEN_Hintergrundartikel_Steckbrief_Holzpellets.pdf" TargetMode="External"/><Relationship Id="rId4" Type="http://schemas.openxmlformats.org/officeDocument/2006/relationships/image" Target="../media/image2.png"/><Relationship Id="rId9" Type="http://schemas.openxmlformats.org/officeDocument/2006/relationships/chart" Target="../charts/chart1.xml"/><Relationship Id="rId14" Type="http://schemas.openxmlformats.org/officeDocument/2006/relationships/image" Target="../media/image10.png"/><Relationship Id="rId22" Type="http://schemas.openxmlformats.org/officeDocument/2006/relationships/image" Target="../media/image16.png"/><Relationship Id="rId27" Type="http://schemas.openxmlformats.org/officeDocument/2006/relationships/image" Target="../media/image20.png"/><Relationship Id="rId30" Type="http://schemas.openxmlformats.org/officeDocument/2006/relationships/hyperlink" Target="https://www.buderus.de/de/produkte/catalogue/alle-produkte/153116_brennstoffzelle-bluegen-bg-15" TargetMode="External"/><Relationship Id="rId8"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51</xdr:col>
      <xdr:colOff>37165</xdr:colOff>
      <xdr:row>127</xdr:row>
      <xdr:rowOff>75005</xdr:rowOff>
    </xdr:from>
    <xdr:to>
      <xdr:col>55</xdr:col>
      <xdr:colOff>134508</xdr:colOff>
      <xdr:row>134</xdr:row>
      <xdr:rowOff>229852</xdr:rowOff>
    </xdr:to>
    <xdr:pic>
      <xdr:nvPicPr>
        <xdr:cNvPr id="2" name="Grafik 1">
          <a:hlinkClick xmlns:r="http://schemas.openxmlformats.org/officeDocument/2006/relationships" r:id="rId1"/>
          <a:extLst>
            <a:ext uri="{FF2B5EF4-FFF2-40B4-BE49-F238E27FC236}">
              <a16:creationId xmlns:a16="http://schemas.microsoft.com/office/drawing/2014/main" id="{27EC062E-3034-4322-BFAA-DC4BBAEF19FB}"/>
            </a:ext>
          </a:extLst>
        </xdr:cNvPr>
        <xdr:cNvPicPr>
          <a:picLocks noChangeAspect="1"/>
        </xdr:cNvPicPr>
      </xdr:nvPicPr>
      <xdr:blipFill>
        <a:blip xmlns:r="http://schemas.openxmlformats.org/officeDocument/2006/relationships" r:embed="rId2"/>
        <a:stretch>
          <a:fillRect/>
        </a:stretch>
      </xdr:blipFill>
      <xdr:spPr>
        <a:xfrm>
          <a:off x="42032890" y="33126755"/>
          <a:ext cx="3831143" cy="5479322"/>
        </a:xfrm>
        <a:prstGeom prst="rect">
          <a:avLst/>
        </a:prstGeom>
      </xdr:spPr>
    </xdr:pic>
    <xdr:clientData/>
  </xdr:twoCellAnchor>
  <xdr:twoCellAnchor editAs="oneCell">
    <xdr:from>
      <xdr:col>55</xdr:col>
      <xdr:colOff>13607</xdr:colOff>
      <xdr:row>133</xdr:row>
      <xdr:rowOff>272142</xdr:rowOff>
    </xdr:from>
    <xdr:to>
      <xdr:col>67</xdr:col>
      <xdr:colOff>304511</xdr:colOff>
      <xdr:row>143</xdr:row>
      <xdr:rowOff>417222</xdr:rowOff>
    </xdr:to>
    <xdr:pic>
      <xdr:nvPicPr>
        <xdr:cNvPr id="3" name="Grafik 2">
          <a:hlinkClick xmlns:r="http://schemas.openxmlformats.org/officeDocument/2006/relationships" r:id="rId3"/>
          <a:extLst>
            <a:ext uri="{FF2B5EF4-FFF2-40B4-BE49-F238E27FC236}">
              <a16:creationId xmlns:a16="http://schemas.microsoft.com/office/drawing/2014/main" id="{4B6EAE93-17DA-419B-9C45-4F77E3A61E17}"/>
            </a:ext>
          </a:extLst>
        </xdr:cNvPr>
        <xdr:cNvPicPr>
          <a:picLocks noChangeAspect="1"/>
        </xdr:cNvPicPr>
      </xdr:nvPicPr>
      <xdr:blipFill>
        <a:blip xmlns:r="http://schemas.openxmlformats.org/officeDocument/2006/relationships" r:embed="rId4"/>
        <a:stretch>
          <a:fillRect/>
        </a:stretch>
      </xdr:blipFill>
      <xdr:spPr>
        <a:xfrm>
          <a:off x="45746942" y="37463457"/>
          <a:ext cx="9773994" cy="7645064"/>
        </a:xfrm>
        <a:prstGeom prst="rect">
          <a:avLst/>
        </a:prstGeom>
      </xdr:spPr>
    </xdr:pic>
    <xdr:clientData/>
  </xdr:twoCellAnchor>
  <xdr:twoCellAnchor editAs="oneCell">
    <xdr:from>
      <xdr:col>55</xdr:col>
      <xdr:colOff>13608</xdr:colOff>
      <xdr:row>118</xdr:row>
      <xdr:rowOff>68035</xdr:rowOff>
    </xdr:from>
    <xdr:to>
      <xdr:col>67</xdr:col>
      <xdr:colOff>571848</xdr:colOff>
      <xdr:row>129</xdr:row>
      <xdr:rowOff>257342</xdr:rowOff>
    </xdr:to>
    <xdr:pic>
      <xdr:nvPicPr>
        <xdr:cNvPr id="4" name="Grafik 3">
          <a:hlinkClick xmlns:r="http://schemas.openxmlformats.org/officeDocument/2006/relationships" r:id="rId5"/>
          <a:extLst>
            <a:ext uri="{FF2B5EF4-FFF2-40B4-BE49-F238E27FC236}">
              <a16:creationId xmlns:a16="http://schemas.microsoft.com/office/drawing/2014/main" id="{E0BB0F40-270B-4381-B584-A77A04F6E3A2}"/>
            </a:ext>
          </a:extLst>
        </xdr:cNvPr>
        <xdr:cNvPicPr>
          <a:picLocks noChangeAspect="1"/>
        </xdr:cNvPicPr>
      </xdr:nvPicPr>
      <xdr:blipFill>
        <a:blip xmlns:r="http://schemas.openxmlformats.org/officeDocument/2006/relationships" r:embed="rId6"/>
        <a:stretch>
          <a:fillRect/>
        </a:stretch>
      </xdr:blipFill>
      <xdr:spPr>
        <a:xfrm>
          <a:off x="45746943" y="26307505"/>
          <a:ext cx="10041330" cy="8354137"/>
        </a:xfrm>
        <a:prstGeom prst="rect">
          <a:avLst/>
        </a:prstGeom>
      </xdr:spPr>
    </xdr:pic>
    <xdr:clientData/>
  </xdr:twoCellAnchor>
  <xdr:twoCellAnchor>
    <xdr:from>
      <xdr:col>52</xdr:col>
      <xdr:colOff>758190</xdr:colOff>
      <xdr:row>118</xdr:row>
      <xdr:rowOff>163830</xdr:rowOff>
    </xdr:from>
    <xdr:to>
      <xdr:col>55</xdr:col>
      <xdr:colOff>27215</xdr:colOff>
      <xdr:row>119</xdr:row>
      <xdr:rowOff>258536</xdr:rowOff>
    </xdr:to>
    <xdr:cxnSp macro="">
      <xdr:nvCxnSpPr>
        <xdr:cNvPr id="5" name="Gerade Verbindung mit Pfeil 4">
          <a:extLst>
            <a:ext uri="{FF2B5EF4-FFF2-40B4-BE49-F238E27FC236}">
              <a16:creationId xmlns:a16="http://schemas.microsoft.com/office/drawing/2014/main" id="{E72C4E86-21BE-493E-AC61-B675C0C9FCF0}"/>
            </a:ext>
          </a:extLst>
        </xdr:cNvPr>
        <xdr:cNvCxnSpPr/>
      </xdr:nvCxnSpPr>
      <xdr:spPr>
        <a:xfrm>
          <a:off x="43738800" y="26403300"/>
          <a:ext cx="2019845" cy="599531"/>
        </a:xfrm>
        <a:prstGeom prst="straightConnector1">
          <a:avLst/>
        </a:prstGeom>
        <a:ln w="3810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44</xdr:col>
      <xdr:colOff>465623</xdr:colOff>
      <xdr:row>118</xdr:row>
      <xdr:rowOff>303340</xdr:rowOff>
    </xdr:from>
    <xdr:to>
      <xdr:col>47</xdr:col>
      <xdr:colOff>494421</xdr:colOff>
      <xdr:row>120</xdr:row>
      <xdr:rowOff>493670</xdr:rowOff>
    </xdr:to>
    <xdr:pic>
      <xdr:nvPicPr>
        <xdr:cNvPr id="6" name="Grafik 5">
          <a:extLst>
            <a:ext uri="{FF2B5EF4-FFF2-40B4-BE49-F238E27FC236}">
              <a16:creationId xmlns:a16="http://schemas.microsoft.com/office/drawing/2014/main" id="{754113E0-69FF-4093-B2C7-9F3A08ACF41B}"/>
            </a:ext>
          </a:extLst>
        </xdr:cNvPr>
        <xdr:cNvPicPr>
          <a:picLocks noChangeAspect="1"/>
        </xdr:cNvPicPr>
      </xdr:nvPicPr>
      <xdr:blipFill rotWithShape="1">
        <a:blip xmlns:r="http://schemas.openxmlformats.org/officeDocument/2006/relationships" r:embed="rId7"/>
        <a:srcRect t="3922"/>
        <a:stretch/>
      </xdr:blipFill>
      <xdr:spPr>
        <a:xfrm>
          <a:off x="36776828" y="26544715"/>
          <a:ext cx="2360518" cy="1199981"/>
        </a:xfrm>
        <a:prstGeom prst="rect">
          <a:avLst/>
        </a:prstGeom>
      </xdr:spPr>
    </xdr:pic>
    <xdr:clientData/>
  </xdr:twoCellAnchor>
  <xdr:twoCellAnchor editAs="oneCell">
    <xdr:from>
      <xdr:col>2</xdr:col>
      <xdr:colOff>13253</xdr:colOff>
      <xdr:row>121</xdr:row>
      <xdr:rowOff>278296</xdr:rowOff>
    </xdr:from>
    <xdr:to>
      <xdr:col>2</xdr:col>
      <xdr:colOff>1160891</xdr:colOff>
      <xdr:row>121</xdr:row>
      <xdr:rowOff>762138</xdr:rowOff>
    </xdr:to>
    <xdr:pic>
      <xdr:nvPicPr>
        <xdr:cNvPr id="7" name="Grafik 6">
          <a:extLst>
            <a:ext uri="{FF2B5EF4-FFF2-40B4-BE49-F238E27FC236}">
              <a16:creationId xmlns:a16="http://schemas.microsoft.com/office/drawing/2014/main" id="{11154E7C-A19F-4605-B616-D285F0F8CD3D}"/>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58364" r="64566" b="33744"/>
        <a:stretch/>
      </xdr:blipFill>
      <xdr:spPr bwMode="auto">
        <a:xfrm>
          <a:off x="439973" y="28622791"/>
          <a:ext cx="1149543" cy="48574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16565</xdr:colOff>
      <xdr:row>122</xdr:row>
      <xdr:rowOff>327992</xdr:rowOff>
    </xdr:from>
    <xdr:to>
      <xdr:col>3</xdr:col>
      <xdr:colOff>20375</xdr:colOff>
      <xdr:row>122</xdr:row>
      <xdr:rowOff>818818</xdr:rowOff>
    </xdr:to>
    <xdr:pic>
      <xdr:nvPicPr>
        <xdr:cNvPr id="8" name="Grafik 7">
          <a:extLst>
            <a:ext uri="{FF2B5EF4-FFF2-40B4-BE49-F238E27FC236}">
              <a16:creationId xmlns:a16="http://schemas.microsoft.com/office/drawing/2014/main" id="{413F2FBA-B620-48BA-8C0B-4C7A5B9D8618}"/>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9952" r="62229" b="42108"/>
        <a:stretch/>
      </xdr:blipFill>
      <xdr:spPr bwMode="auto">
        <a:xfrm>
          <a:off x="449000" y="29575457"/>
          <a:ext cx="1200150" cy="49463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19878</xdr:colOff>
      <xdr:row>129</xdr:row>
      <xdr:rowOff>172279</xdr:rowOff>
    </xdr:from>
    <xdr:to>
      <xdr:col>3</xdr:col>
      <xdr:colOff>162836</xdr:colOff>
      <xdr:row>130</xdr:row>
      <xdr:rowOff>18473</xdr:rowOff>
    </xdr:to>
    <xdr:pic>
      <xdr:nvPicPr>
        <xdr:cNvPr id="9" name="Grafik 8">
          <a:extLst>
            <a:ext uri="{FF2B5EF4-FFF2-40B4-BE49-F238E27FC236}">
              <a16:creationId xmlns:a16="http://schemas.microsoft.com/office/drawing/2014/main" id="{93A0A530-BB31-4E8F-807B-E4A4B3629C71}"/>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74952" r="59517" b="16683"/>
        <a:stretch/>
      </xdr:blipFill>
      <xdr:spPr bwMode="auto">
        <a:xfrm>
          <a:off x="448503" y="34576579"/>
          <a:ext cx="1343108" cy="52247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26505</xdr:colOff>
      <xdr:row>131</xdr:row>
      <xdr:rowOff>178905</xdr:rowOff>
    </xdr:from>
    <xdr:to>
      <xdr:col>3</xdr:col>
      <xdr:colOff>265541</xdr:colOff>
      <xdr:row>131</xdr:row>
      <xdr:rowOff>666419</xdr:rowOff>
    </xdr:to>
    <xdr:pic>
      <xdr:nvPicPr>
        <xdr:cNvPr id="10" name="Grafik 9">
          <a:extLst>
            <a:ext uri="{FF2B5EF4-FFF2-40B4-BE49-F238E27FC236}">
              <a16:creationId xmlns:a16="http://schemas.microsoft.com/office/drawing/2014/main" id="{DA889B15-2786-43D6-B6FF-DF64F6486615}"/>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83175" r="54375" b="8744"/>
        <a:stretch/>
      </xdr:blipFill>
      <xdr:spPr bwMode="auto">
        <a:xfrm>
          <a:off x="457035" y="35937660"/>
          <a:ext cx="1437281" cy="48560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33130</xdr:colOff>
      <xdr:row>142</xdr:row>
      <xdr:rowOff>543339</xdr:rowOff>
    </xdr:from>
    <xdr:to>
      <xdr:col>3</xdr:col>
      <xdr:colOff>172774</xdr:colOff>
      <xdr:row>142</xdr:row>
      <xdr:rowOff>1011553</xdr:rowOff>
    </xdr:to>
    <xdr:pic>
      <xdr:nvPicPr>
        <xdr:cNvPr id="11" name="Grafik 10">
          <a:extLst>
            <a:ext uri="{FF2B5EF4-FFF2-40B4-BE49-F238E27FC236}">
              <a16:creationId xmlns:a16="http://schemas.microsoft.com/office/drawing/2014/main" id="{DF980DE9-76AF-457D-9F59-F0C028304B55}"/>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9645" r="7255" b="91777"/>
        <a:stretch/>
      </xdr:blipFill>
      <xdr:spPr bwMode="auto">
        <a:xfrm>
          <a:off x="465565" y="44165934"/>
          <a:ext cx="1335984" cy="47011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19879</xdr:colOff>
      <xdr:row>138</xdr:row>
      <xdr:rowOff>182219</xdr:rowOff>
    </xdr:from>
    <xdr:to>
      <xdr:col>3</xdr:col>
      <xdr:colOff>142461</xdr:colOff>
      <xdr:row>138</xdr:row>
      <xdr:rowOff>608422</xdr:rowOff>
    </xdr:to>
    <xdr:pic>
      <xdr:nvPicPr>
        <xdr:cNvPr id="12" name="Grafik 11">
          <a:extLst>
            <a:ext uri="{FF2B5EF4-FFF2-40B4-BE49-F238E27FC236}">
              <a16:creationId xmlns:a16="http://schemas.microsoft.com/office/drawing/2014/main" id="{45B9E5A3-82D8-419F-8F86-8B120732F4F0}"/>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8991" t="16919" r="7629" b="75283"/>
        <a:stretch/>
      </xdr:blipFill>
      <xdr:spPr bwMode="auto">
        <a:xfrm>
          <a:off x="448504" y="41233064"/>
          <a:ext cx="1322732" cy="42810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26505</xdr:colOff>
      <xdr:row>137</xdr:row>
      <xdr:rowOff>96078</xdr:rowOff>
    </xdr:from>
    <xdr:to>
      <xdr:col>3</xdr:col>
      <xdr:colOff>19880</xdr:colOff>
      <xdr:row>137</xdr:row>
      <xdr:rowOff>524513</xdr:rowOff>
    </xdr:to>
    <xdr:pic>
      <xdr:nvPicPr>
        <xdr:cNvPr id="13" name="Grafik 12">
          <a:extLst>
            <a:ext uri="{FF2B5EF4-FFF2-40B4-BE49-F238E27FC236}">
              <a16:creationId xmlns:a16="http://schemas.microsoft.com/office/drawing/2014/main" id="{1678D560-9BA3-4AC3-A69A-F94F1006DEA9}"/>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9738" t="75141" r="10808" b="16683"/>
        <a:stretch/>
      </xdr:blipFill>
      <xdr:spPr bwMode="auto">
        <a:xfrm>
          <a:off x="457035" y="40501128"/>
          <a:ext cx="1191620" cy="4284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19380</xdr:colOff>
      <xdr:row>127</xdr:row>
      <xdr:rowOff>174878</xdr:rowOff>
    </xdr:from>
    <xdr:to>
      <xdr:col>3</xdr:col>
      <xdr:colOff>256511</xdr:colOff>
      <xdr:row>127</xdr:row>
      <xdr:rowOff>649057</xdr:rowOff>
    </xdr:to>
    <xdr:pic>
      <xdr:nvPicPr>
        <xdr:cNvPr id="14" name="Grafik 13">
          <a:extLst>
            <a:ext uri="{FF2B5EF4-FFF2-40B4-BE49-F238E27FC236}">
              <a16:creationId xmlns:a16="http://schemas.microsoft.com/office/drawing/2014/main" id="{E2441AD5-CE84-4C81-8811-2259498C8102}"/>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83175" r="54375" b="8744"/>
        <a:stretch/>
      </xdr:blipFill>
      <xdr:spPr bwMode="auto">
        <a:xfrm>
          <a:off x="448005" y="33222818"/>
          <a:ext cx="1437281" cy="47798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39757</xdr:colOff>
      <xdr:row>124</xdr:row>
      <xdr:rowOff>192156</xdr:rowOff>
    </xdr:from>
    <xdr:to>
      <xdr:col>3</xdr:col>
      <xdr:colOff>171781</xdr:colOff>
      <xdr:row>124</xdr:row>
      <xdr:rowOff>658465</xdr:rowOff>
    </xdr:to>
    <xdr:pic>
      <xdr:nvPicPr>
        <xdr:cNvPr id="15" name="Grafik 14">
          <a:extLst>
            <a:ext uri="{FF2B5EF4-FFF2-40B4-BE49-F238E27FC236}">
              <a16:creationId xmlns:a16="http://schemas.microsoft.com/office/drawing/2014/main" id="{99955EFC-0C62-47C4-9115-64CBE42F353C}"/>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9645" r="7255" b="91777"/>
        <a:stretch/>
      </xdr:blipFill>
      <xdr:spPr bwMode="auto">
        <a:xfrm>
          <a:off x="468382" y="30843606"/>
          <a:ext cx="1332174" cy="466309"/>
        </a:xfrm>
        <a:prstGeom prst="rect">
          <a:avLst/>
        </a:prstGeom>
        <a:noFill/>
        <a:ln>
          <a:noFill/>
        </a:ln>
        <a:extLst>
          <a:ext uri="{53640926-AAD7-44D8-BBD7-CCE9431645EC}">
            <a14:shadowObscured xmlns:a14="http://schemas.microsoft.com/office/drawing/2010/main"/>
          </a:ext>
        </a:extLst>
      </xdr:spPr>
    </xdr:pic>
    <xdr:clientData/>
  </xdr:twoCellAnchor>
  <xdr:twoCellAnchor>
    <xdr:from>
      <xdr:col>44</xdr:col>
      <xdr:colOff>389174</xdr:colOff>
      <xdr:row>118</xdr:row>
      <xdr:rowOff>380453</xdr:rowOff>
    </xdr:from>
    <xdr:to>
      <xdr:col>47</xdr:col>
      <xdr:colOff>647592</xdr:colOff>
      <xdr:row>120</xdr:row>
      <xdr:rowOff>33130</xdr:rowOff>
    </xdr:to>
    <xdr:graphicFrame macro="">
      <xdr:nvGraphicFramePr>
        <xdr:cNvPr id="16" name="Diagramm 15">
          <a:extLst>
            <a:ext uri="{FF2B5EF4-FFF2-40B4-BE49-F238E27FC236}">
              <a16:creationId xmlns:a16="http://schemas.microsoft.com/office/drawing/2014/main" id="{AED8AADB-BC91-49AA-8C5B-F7186B2CF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189590</xdr:colOff>
      <xdr:row>119</xdr:row>
      <xdr:rowOff>389283</xdr:rowOff>
    </xdr:from>
    <xdr:to>
      <xdr:col>45</xdr:col>
      <xdr:colOff>190500</xdr:colOff>
      <xdr:row>120</xdr:row>
      <xdr:rowOff>1019009</xdr:rowOff>
    </xdr:to>
    <xdr:cxnSp macro="">
      <xdr:nvCxnSpPr>
        <xdr:cNvPr id="17" name="Gerade Verbindung mit Pfeil 16">
          <a:extLst>
            <a:ext uri="{FF2B5EF4-FFF2-40B4-BE49-F238E27FC236}">
              <a16:creationId xmlns:a16="http://schemas.microsoft.com/office/drawing/2014/main" id="{CA11BE2F-A179-4C21-B174-B66748616A10}"/>
            </a:ext>
          </a:extLst>
        </xdr:cNvPr>
        <xdr:cNvCxnSpPr/>
      </xdr:nvCxnSpPr>
      <xdr:spPr>
        <a:xfrm flipH="1">
          <a:off x="37003715" y="27137388"/>
          <a:ext cx="910" cy="1134551"/>
        </a:xfrm>
        <a:prstGeom prst="straightConnector1">
          <a:avLst/>
        </a:prstGeom>
        <a:ln w="3810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55</xdr:col>
      <xdr:colOff>40342</xdr:colOff>
      <xdr:row>31</xdr:row>
      <xdr:rowOff>140618</xdr:rowOff>
    </xdr:from>
    <xdr:to>
      <xdr:col>60</xdr:col>
      <xdr:colOff>685432</xdr:colOff>
      <xdr:row>38</xdr:row>
      <xdr:rowOff>55452</xdr:rowOff>
    </xdr:to>
    <xdr:pic>
      <xdr:nvPicPr>
        <xdr:cNvPr id="18" name="Grafik 17">
          <a:extLst>
            <a:ext uri="{FF2B5EF4-FFF2-40B4-BE49-F238E27FC236}">
              <a16:creationId xmlns:a16="http://schemas.microsoft.com/office/drawing/2014/main" id="{C8104630-1E66-44FE-88DC-5BFCBEBA3A22}"/>
            </a:ext>
          </a:extLst>
        </xdr:cNvPr>
        <xdr:cNvPicPr>
          <a:picLocks noChangeAspect="1"/>
        </xdr:cNvPicPr>
      </xdr:nvPicPr>
      <xdr:blipFill>
        <a:blip xmlns:r="http://schemas.openxmlformats.org/officeDocument/2006/relationships" r:embed="rId10"/>
        <a:stretch>
          <a:fillRect/>
        </a:stretch>
      </xdr:blipFill>
      <xdr:spPr>
        <a:xfrm>
          <a:off x="45766057" y="7181498"/>
          <a:ext cx="4601775" cy="1370057"/>
        </a:xfrm>
        <a:prstGeom prst="rect">
          <a:avLst/>
        </a:prstGeom>
      </xdr:spPr>
    </xdr:pic>
    <xdr:clientData/>
  </xdr:twoCellAnchor>
  <xdr:twoCellAnchor editAs="oneCell">
    <xdr:from>
      <xdr:col>55</xdr:col>
      <xdr:colOff>94353</xdr:colOff>
      <xdr:row>40</xdr:row>
      <xdr:rowOff>139758</xdr:rowOff>
    </xdr:from>
    <xdr:to>
      <xdr:col>60</xdr:col>
      <xdr:colOff>772797</xdr:colOff>
      <xdr:row>42</xdr:row>
      <xdr:rowOff>190295</xdr:rowOff>
    </xdr:to>
    <xdr:pic>
      <xdr:nvPicPr>
        <xdr:cNvPr id="19" name="Grafik 18">
          <a:extLst>
            <a:ext uri="{FF2B5EF4-FFF2-40B4-BE49-F238E27FC236}">
              <a16:creationId xmlns:a16="http://schemas.microsoft.com/office/drawing/2014/main" id="{4876A0EC-7068-4022-B31B-3E798E02CA5C}"/>
            </a:ext>
          </a:extLst>
        </xdr:cNvPr>
        <xdr:cNvPicPr>
          <a:picLocks noChangeAspect="1"/>
        </xdr:cNvPicPr>
      </xdr:nvPicPr>
      <xdr:blipFill>
        <a:blip xmlns:r="http://schemas.openxmlformats.org/officeDocument/2006/relationships" r:embed="rId11"/>
        <a:stretch>
          <a:fillRect/>
        </a:stretch>
      </xdr:blipFill>
      <xdr:spPr>
        <a:xfrm>
          <a:off x="45823878" y="9114213"/>
          <a:ext cx="4631319" cy="562982"/>
        </a:xfrm>
        <a:prstGeom prst="rect">
          <a:avLst/>
        </a:prstGeom>
      </xdr:spPr>
    </xdr:pic>
    <xdr:clientData/>
  </xdr:twoCellAnchor>
  <xdr:twoCellAnchor editAs="oneCell">
    <xdr:from>
      <xdr:col>10</xdr:col>
      <xdr:colOff>664030</xdr:colOff>
      <xdr:row>3</xdr:row>
      <xdr:rowOff>44295</xdr:rowOff>
    </xdr:from>
    <xdr:to>
      <xdr:col>19</xdr:col>
      <xdr:colOff>456521</xdr:colOff>
      <xdr:row>22</xdr:row>
      <xdr:rowOff>198729</xdr:rowOff>
    </xdr:to>
    <xdr:pic>
      <xdr:nvPicPr>
        <xdr:cNvPr id="20" name="Grafik 19">
          <a:extLst>
            <a:ext uri="{FF2B5EF4-FFF2-40B4-BE49-F238E27FC236}">
              <a16:creationId xmlns:a16="http://schemas.microsoft.com/office/drawing/2014/main" id="{942ABCCE-BE1A-4302-B307-5C0CC96A46C3}"/>
            </a:ext>
          </a:extLst>
        </xdr:cNvPr>
        <xdr:cNvPicPr>
          <a:picLocks noChangeAspect="1"/>
        </xdr:cNvPicPr>
      </xdr:nvPicPr>
      <xdr:blipFill>
        <a:blip xmlns:r="http://schemas.openxmlformats.org/officeDocument/2006/relationships" r:embed="rId12"/>
        <a:stretch>
          <a:fillRect/>
        </a:stretch>
      </xdr:blipFill>
      <xdr:spPr>
        <a:xfrm>
          <a:off x="9259390" y="579600"/>
          <a:ext cx="6113281" cy="4438779"/>
        </a:xfrm>
        <a:prstGeom prst="rect">
          <a:avLst/>
        </a:prstGeom>
      </xdr:spPr>
    </xdr:pic>
    <xdr:clientData/>
  </xdr:twoCellAnchor>
  <xdr:twoCellAnchor editAs="oneCell">
    <xdr:from>
      <xdr:col>20</xdr:col>
      <xdr:colOff>213870</xdr:colOff>
      <xdr:row>4</xdr:row>
      <xdr:rowOff>8497</xdr:rowOff>
    </xdr:from>
    <xdr:to>
      <xdr:col>25</xdr:col>
      <xdr:colOff>723220</xdr:colOff>
      <xdr:row>22</xdr:row>
      <xdr:rowOff>153938</xdr:rowOff>
    </xdr:to>
    <xdr:pic>
      <xdr:nvPicPr>
        <xdr:cNvPr id="21" name="Grafik 20">
          <a:extLst>
            <a:ext uri="{FF2B5EF4-FFF2-40B4-BE49-F238E27FC236}">
              <a16:creationId xmlns:a16="http://schemas.microsoft.com/office/drawing/2014/main" id="{C635B762-5D1B-43D3-ACA3-AFC9E970F58B}"/>
            </a:ext>
          </a:extLst>
        </xdr:cNvPr>
        <xdr:cNvPicPr>
          <a:picLocks noChangeAspect="1"/>
        </xdr:cNvPicPr>
      </xdr:nvPicPr>
      <xdr:blipFill>
        <a:blip xmlns:r="http://schemas.openxmlformats.org/officeDocument/2006/relationships" r:embed="rId13"/>
        <a:stretch>
          <a:fillRect/>
        </a:stretch>
      </xdr:blipFill>
      <xdr:spPr>
        <a:xfrm>
          <a:off x="16545435" y="696202"/>
          <a:ext cx="6009085" cy="4277386"/>
        </a:xfrm>
        <a:prstGeom prst="rect">
          <a:avLst/>
        </a:prstGeom>
      </xdr:spPr>
    </xdr:pic>
    <xdr:clientData/>
  </xdr:twoCellAnchor>
  <xdr:twoCellAnchor editAs="oneCell">
    <xdr:from>
      <xdr:col>37</xdr:col>
      <xdr:colOff>242654</xdr:colOff>
      <xdr:row>19</xdr:row>
      <xdr:rowOff>250129</xdr:rowOff>
    </xdr:from>
    <xdr:to>
      <xdr:col>46</xdr:col>
      <xdr:colOff>573174</xdr:colOff>
      <xdr:row>32</xdr:row>
      <xdr:rowOff>1685</xdr:rowOff>
    </xdr:to>
    <xdr:pic>
      <xdr:nvPicPr>
        <xdr:cNvPr id="22" name="Grafik 21">
          <a:extLst>
            <a:ext uri="{FF2B5EF4-FFF2-40B4-BE49-F238E27FC236}">
              <a16:creationId xmlns:a16="http://schemas.microsoft.com/office/drawing/2014/main" id="{5A94267F-2941-4AA4-ACA1-9B09690DA1D5}"/>
            </a:ext>
          </a:extLst>
        </xdr:cNvPr>
        <xdr:cNvPicPr>
          <a:picLocks noChangeAspect="1"/>
        </xdr:cNvPicPr>
      </xdr:nvPicPr>
      <xdr:blipFill>
        <a:blip xmlns:r="http://schemas.openxmlformats.org/officeDocument/2006/relationships" r:embed="rId14"/>
        <a:stretch>
          <a:fillRect/>
        </a:stretch>
      </xdr:blipFill>
      <xdr:spPr>
        <a:xfrm>
          <a:off x="32221889" y="4389694"/>
          <a:ext cx="6041710" cy="2955766"/>
        </a:xfrm>
        <a:prstGeom prst="rect">
          <a:avLst/>
        </a:prstGeom>
      </xdr:spPr>
    </xdr:pic>
    <xdr:clientData/>
  </xdr:twoCellAnchor>
  <xdr:oneCellAnchor>
    <xdr:from>
      <xdr:col>2</xdr:col>
      <xdr:colOff>29817</xdr:colOff>
      <xdr:row>144</xdr:row>
      <xdr:rowOff>23191</xdr:rowOff>
    </xdr:from>
    <xdr:ext cx="474345" cy="473710"/>
    <xdr:pic>
      <xdr:nvPicPr>
        <xdr:cNvPr id="23" name="Picture 11" descr="Ein Bild, das Text enthält.&#10;&#10;Automatisch generierte Beschreibung">
          <a:extLst>
            <a:ext uri="{FF2B5EF4-FFF2-40B4-BE49-F238E27FC236}">
              <a16:creationId xmlns:a16="http://schemas.microsoft.com/office/drawing/2014/main" id="{CC68CB5A-0DBE-49F8-9BA1-8E0008F4F32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56537" y="45491731"/>
          <a:ext cx="474345" cy="473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43543</xdr:colOff>
      <xdr:row>166</xdr:row>
      <xdr:rowOff>33753</xdr:rowOff>
    </xdr:from>
    <xdr:to>
      <xdr:col>8</xdr:col>
      <xdr:colOff>58922</xdr:colOff>
      <xdr:row>188</xdr:row>
      <xdr:rowOff>132047</xdr:rowOff>
    </xdr:to>
    <xdr:pic>
      <xdr:nvPicPr>
        <xdr:cNvPr id="24" name="Grafik 23">
          <a:extLst>
            <a:ext uri="{FF2B5EF4-FFF2-40B4-BE49-F238E27FC236}">
              <a16:creationId xmlns:a16="http://schemas.microsoft.com/office/drawing/2014/main" id="{768490C2-310B-4BAF-A3DF-94573A94AA51}"/>
            </a:ext>
          </a:extLst>
        </xdr:cNvPr>
        <xdr:cNvPicPr>
          <a:picLocks noChangeAspect="1"/>
        </xdr:cNvPicPr>
      </xdr:nvPicPr>
      <xdr:blipFill>
        <a:blip xmlns:r="http://schemas.openxmlformats.org/officeDocument/2006/relationships" r:embed="rId16"/>
        <a:stretch>
          <a:fillRect/>
        </a:stretch>
      </xdr:blipFill>
      <xdr:spPr>
        <a:xfrm>
          <a:off x="2059033" y="55882638"/>
          <a:ext cx="5467489" cy="3915257"/>
        </a:xfrm>
        <a:prstGeom prst="rect">
          <a:avLst/>
        </a:prstGeom>
      </xdr:spPr>
    </xdr:pic>
    <xdr:clientData/>
  </xdr:twoCellAnchor>
  <xdr:twoCellAnchor>
    <xdr:from>
      <xdr:col>12</xdr:col>
      <xdr:colOff>26504</xdr:colOff>
      <xdr:row>147</xdr:row>
      <xdr:rowOff>23190</xdr:rowOff>
    </xdr:from>
    <xdr:to>
      <xdr:col>14</xdr:col>
      <xdr:colOff>106017</xdr:colOff>
      <xdr:row>147</xdr:row>
      <xdr:rowOff>291547</xdr:rowOff>
    </xdr:to>
    <xdr:sp macro="" textlink="">
      <xdr:nvSpPr>
        <xdr:cNvPr id="25" name="Rechteck 24">
          <a:extLst>
            <a:ext uri="{FF2B5EF4-FFF2-40B4-BE49-F238E27FC236}">
              <a16:creationId xmlns:a16="http://schemas.microsoft.com/office/drawing/2014/main" id="{D6A517D0-021B-41AD-A85C-6624E8439693}"/>
            </a:ext>
          </a:extLst>
        </xdr:cNvPr>
        <xdr:cNvSpPr/>
      </xdr:nvSpPr>
      <xdr:spPr>
        <a:xfrm>
          <a:off x="10077284" y="47349105"/>
          <a:ext cx="999628" cy="27407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Kontrolle</a:t>
          </a:r>
        </a:p>
      </xdr:txBody>
    </xdr:sp>
    <xdr:clientData/>
  </xdr:twoCellAnchor>
  <xdr:twoCellAnchor>
    <xdr:from>
      <xdr:col>18</xdr:col>
      <xdr:colOff>13253</xdr:colOff>
      <xdr:row>147</xdr:row>
      <xdr:rowOff>16564</xdr:rowOff>
    </xdr:from>
    <xdr:to>
      <xdr:col>21</xdr:col>
      <xdr:colOff>646044</xdr:colOff>
      <xdr:row>147</xdr:row>
      <xdr:rowOff>411480</xdr:rowOff>
    </xdr:to>
    <xdr:sp macro="" textlink="">
      <xdr:nvSpPr>
        <xdr:cNvPr id="26" name="Rechteck 25">
          <a:extLst>
            <a:ext uri="{FF2B5EF4-FFF2-40B4-BE49-F238E27FC236}">
              <a16:creationId xmlns:a16="http://schemas.microsoft.com/office/drawing/2014/main" id="{EDF11760-8AA0-432E-87DB-49F22458AFF6}"/>
            </a:ext>
          </a:extLst>
        </xdr:cNvPr>
        <xdr:cNvSpPr/>
      </xdr:nvSpPr>
      <xdr:spPr>
        <a:xfrm>
          <a:off x="14536973" y="47350099"/>
          <a:ext cx="2787346" cy="38920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Variante bei der Jahresfahrleistung</a:t>
          </a:r>
        </a:p>
        <a:p>
          <a:pPr algn="l"/>
          <a:r>
            <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Liter/kg/kW</a:t>
          </a:r>
          <a:r>
            <a:rPr lang="de-DE" sz="10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auf 100km</a:t>
          </a:r>
          <a:endPar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28</xdr:col>
      <xdr:colOff>0</xdr:colOff>
      <xdr:row>147</xdr:row>
      <xdr:rowOff>6626</xdr:rowOff>
    </xdr:from>
    <xdr:to>
      <xdr:col>29</xdr:col>
      <xdr:colOff>990600</xdr:colOff>
      <xdr:row>147</xdr:row>
      <xdr:rowOff>463825</xdr:rowOff>
    </xdr:to>
    <xdr:sp macro="" textlink="">
      <xdr:nvSpPr>
        <xdr:cNvPr id="27" name="Rechteck 26">
          <a:extLst>
            <a:ext uri="{FF2B5EF4-FFF2-40B4-BE49-F238E27FC236}">
              <a16:creationId xmlns:a16="http://schemas.microsoft.com/office/drawing/2014/main" id="{EB32CDD9-BC93-420E-900D-0C9E48D53ACF}"/>
            </a:ext>
          </a:extLst>
        </xdr:cNvPr>
        <xdr:cNvSpPr/>
      </xdr:nvSpPr>
      <xdr:spPr>
        <a:xfrm>
          <a:off x="25793700" y="47338256"/>
          <a:ext cx="1695450" cy="45719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CO2 &amp; CO2 Preis </a:t>
          </a:r>
        </a:p>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bei Jahresfahrleistung  </a:t>
          </a:r>
        </a:p>
      </xdr:txBody>
    </xdr:sp>
    <xdr:clientData/>
  </xdr:twoCellAnchor>
  <xdr:twoCellAnchor>
    <xdr:from>
      <xdr:col>30</xdr:col>
      <xdr:colOff>0</xdr:colOff>
      <xdr:row>147</xdr:row>
      <xdr:rowOff>0</xdr:rowOff>
    </xdr:from>
    <xdr:to>
      <xdr:col>31</xdr:col>
      <xdr:colOff>990599</xdr:colOff>
      <xdr:row>147</xdr:row>
      <xdr:rowOff>457199</xdr:rowOff>
    </xdr:to>
    <xdr:sp macro="" textlink="">
      <xdr:nvSpPr>
        <xdr:cNvPr id="28" name="Rechteck 27">
          <a:extLst>
            <a:ext uri="{FF2B5EF4-FFF2-40B4-BE49-F238E27FC236}">
              <a16:creationId xmlns:a16="http://schemas.microsoft.com/office/drawing/2014/main" id="{AB120B1F-2A7A-456D-B6CB-421A3D99E6D7}"/>
            </a:ext>
          </a:extLst>
        </xdr:cNvPr>
        <xdr:cNvSpPr/>
      </xdr:nvSpPr>
      <xdr:spPr>
        <a:xfrm>
          <a:off x="27574875" y="47329725"/>
          <a:ext cx="1847849" cy="45719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Treibstoff Preis </a:t>
          </a:r>
        </a:p>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je Einheit (Liter/kg/kW)</a:t>
          </a:r>
        </a:p>
      </xdr:txBody>
    </xdr:sp>
    <xdr:clientData/>
  </xdr:twoCellAnchor>
  <xdr:twoCellAnchor>
    <xdr:from>
      <xdr:col>32</xdr:col>
      <xdr:colOff>7620</xdr:colOff>
      <xdr:row>147</xdr:row>
      <xdr:rowOff>2816</xdr:rowOff>
    </xdr:from>
    <xdr:to>
      <xdr:col>35</xdr:col>
      <xdr:colOff>480060</xdr:colOff>
      <xdr:row>147</xdr:row>
      <xdr:rowOff>460015</xdr:rowOff>
    </xdr:to>
    <xdr:sp macro="" textlink="">
      <xdr:nvSpPr>
        <xdr:cNvPr id="29" name="Rechteck 28">
          <a:extLst>
            <a:ext uri="{FF2B5EF4-FFF2-40B4-BE49-F238E27FC236}">
              <a16:creationId xmlns:a16="http://schemas.microsoft.com/office/drawing/2014/main" id="{298D9462-CECD-4FD6-B8DD-79095B79BB55}"/>
            </a:ext>
          </a:extLst>
        </xdr:cNvPr>
        <xdr:cNvSpPr/>
      </xdr:nvSpPr>
      <xdr:spPr>
        <a:xfrm>
          <a:off x="29517975" y="47328731"/>
          <a:ext cx="1485900" cy="45719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Preis </a:t>
          </a:r>
          <a:r>
            <a:rPr lang="de-DE" sz="11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a:t>
          </a:r>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t CO2</a:t>
          </a:r>
        </a:p>
      </xdr:txBody>
    </xdr:sp>
    <xdr:clientData/>
  </xdr:twoCellAnchor>
  <xdr:twoCellAnchor>
    <xdr:from>
      <xdr:col>9</xdr:col>
      <xdr:colOff>18884</xdr:colOff>
      <xdr:row>147</xdr:row>
      <xdr:rowOff>19380</xdr:rowOff>
    </xdr:from>
    <xdr:to>
      <xdr:col>11</xdr:col>
      <xdr:colOff>26670</xdr:colOff>
      <xdr:row>147</xdr:row>
      <xdr:rowOff>422910</xdr:rowOff>
    </xdr:to>
    <xdr:sp macro="" textlink="">
      <xdr:nvSpPr>
        <xdr:cNvPr id="30" name="Rechteck 29">
          <a:extLst>
            <a:ext uri="{FF2B5EF4-FFF2-40B4-BE49-F238E27FC236}">
              <a16:creationId xmlns:a16="http://schemas.microsoft.com/office/drawing/2014/main" id="{D13AAEF8-CE1A-46B1-AF0B-1CDB96D48F3E}"/>
            </a:ext>
          </a:extLst>
        </xdr:cNvPr>
        <xdr:cNvSpPr/>
      </xdr:nvSpPr>
      <xdr:spPr>
        <a:xfrm>
          <a:off x="7943684" y="47349105"/>
          <a:ext cx="1400341" cy="39972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Kraftstoff abschätzen </a:t>
          </a:r>
        </a:p>
      </xdr:txBody>
    </xdr:sp>
    <xdr:clientData/>
  </xdr:twoCellAnchor>
  <xdr:twoCellAnchor>
    <xdr:from>
      <xdr:col>8</xdr:col>
      <xdr:colOff>75267</xdr:colOff>
      <xdr:row>158</xdr:row>
      <xdr:rowOff>564337</xdr:rowOff>
    </xdr:from>
    <xdr:to>
      <xdr:col>9</xdr:col>
      <xdr:colOff>102653</xdr:colOff>
      <xdr:row>162</xdr:row>
      <xdr:rowOff>417</xdr:rowOff>
    </xdr:to>
    <mc:AlternateContent xmlns:mc="http://schemas.openxmlformats.org/markup-compatibility/2006">
      <mc:Choice xmlns:am3d="http://schemas.microsoft.com/office/drawing/2017/model3d" Requires="am3d">
        <xdr:graphicFrame macro="">
          <xdr:nvGraphicFramePr>
            <xdr:cNvPr id="31" name="3D-Modell 30" descr="Roter Kegel">
              <a:extLst>
                <a:ext uri="{FF2B5EF4-FFF2-40B4-BE49-F238E27FC236}">
                  <a16:creationId xmlns:a16="http://schemas.microsoft.com/office/drawing/2014/main" id="{EFCC791F-3B91-484A-AA17-B7F493BE5EDB}"/>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7">
                <am3d:spPr>
                  <a:xfrm>
                    <a:off x="0" y="0"/>
                    <a:ext cx="485348" cy="544028"/>
                  </a:xfrm>
                  <a:prstGeom prst="rect">
                    <a:avLst/>
                  </a:prstGeom>
                  <a:effectLst>
                    <a:outerShdw blurRad="50800" dist="38100" dir="5400000" algn="t" rotWithShape="0">
                      <a:prstClr val="black">
                        <a:alpha val="40000"/>
                      </a:prstClr>
                    </a:outerShdw>
                  </a:effectLst>
                </am3d:spPr>
                <am3d:camera>
                  <am3d:pos x="0" y="0" z="79877068"/>
                  <am3d:up dx="0" dy="36000000" dz="0"/>
                  <am3d:lookAt x="0" y="0" z="0"/>
                  <am3d:perspective fov="2700000"/>
                </am3d:camera>
                <am3d:trans>
                  <am3d:meterPerModelUnit n="6704480" d="1000000"/>
                  <am3d:preTrans dx="2" dy="-16922770" dz="-2"/>
                  <am3d:scale>
                    <am3d:sx n="1000000" d="1000000"/>
                    <am3d:sy n="1000000" d="1000000"/>
                    <am3d:sz n="1000000" d="1000000"/>
                  </am3d:scale>
                  <am3d:rot ax="10482737" ay="-428944" az="-10760400"/>
                  <am3d:postTrans dx="0" dy="0" dz="0"/>
                </am3d:trans>
                <am3d:raster rName="Office3DRenderer" rVer="16.0.8326">
                  <am3d:blip r:embed="rId18"/>
                </am3d:raster>
                <am3d:objViewport viewportSz="722629"/>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31" name="3D-Modell 30" descr="Roter Kegel">
              <a:extLst>
                <a:ext uri="{FF2B5EF4-FFF2-40B4-BE49-F238E27FC236}">
                  <a16:creationId xmlns:a16="http://schemas.microsoft.com/office/drawing/2014/main" id="{EFCC791F-3B91-484A-AA17-B7F493BE5EDB}"/>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18"/>
            <a:stretch>
              <a:fillRect/>
            </a:stretch>
          </xdr:blipFill>
          <xdr:spPr>
            <a:xfrm>
              <a:off x="7537612" y="54822087"/>
              <a:ext cx="489118" cy="548140"/>
            </a:xfrm>
            <a:prstGeom prst="rect">
              <a:avLst/>
            </a:prstGeom>
            <a:effectLst>
              <a:outerShdw blurRad="50800" dist="38100" dir="5400000" algn="t" rotWithShape="0">
                <a:prstClr val="black">
                  <a:alpha val="40000"/>
                </a:prstClr>
              </a:outerShdw>
            </a:effectLst>
          </xdr:spPr>
        </xdr:pic>
      </mc:Fallback>
    </mc:AlternateContent>
    <xdr:clientData/>
  </xdr:twoCellAnchor>
  <xdr:twoCellAnchor>
    <xdr:from>
      <xdr:col>4</xdr:col>
      <xdr:colOff>469490</xdr:colOff>
      <xdr:row>159</xdr:row>
      <xdr:rowOff>140619</xdr:rowOff>
    </xdr:from>
    <xdr:to>
      <xdr:col>4</xdr:col>
      <xdr:colOff>884689</xdr:colOff>
      <xdr:row>163</xdr:row>
      <xdr:rowOff>19672</xdr:rowOff>
    </xdr:to>
    <mc:AlternateContent xmlns:mc="http://schemas.openxmlformats.org/markup-compatibility/2006">
      <mc:Choice xmlns:am3d="http://schemas.microsoft.com/office/drawing/2017/model3d" Requires="am3d">
        <xdr:graphicFrame macro="">
          <xdr:nvGraphicFramePr>
            <xdr:cNvPr id="32" name="3D-Modell 31" descr="Roter Zylinder">
              <a:extLst>
                <a:ext uri="{FF2B5EF4-FFF2-40B4-BE49-F238E27FC236}">
                  <a16:creationId xmlns:a16="http://schemas.microsoft.com/office/drawing/2014/main" id="{D1421B09-C9D8-4CA1-A17A-F8B2733CC39D}"/>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9">
                <am3d:spPr>
                  <a:xfrm>
                    <a:off x="0" y="0"/>
                    <a:ext cx="411389" cy="519133"/>
                  </a:xfrm>
                  <a:prstGeom prst="rect">
                    <a:avLst/>
                  </a:prstGeom>
                  <a:effectLst>
                    <a:outerShdw blurRad="50800" dist="38100" dir="2700000" algn="tl" rotWithShape="0">
                      <a:prstClr val="black">
                        <a:alpha val="40000"/>
                      </a:prstClr>
                    </a:outerShdw>
                  </a:effectLst>
                </am3d:spPr>
                <am3d:camera>
                  <am3d:pos x="0" y="0" z="62782805"/>
                  <am3d:up dx="0" dy="36000000" dz="0"/>
                  <am3d:lookAt x="0" y="0" z="0"/>
                  <am3d:perspective fov="2700000"/>
                </am3d:camera>
                <am3d:trans>
                  <am3d:meterPerModelUnit n="7159681" d="1000000"/>
                  <am3d:preTrans dx="22" dy="-18000000" dz="6"/>
                  <am3d:scale>
                    <am3d:sx n="1000000" d="1000000"/>
                    <am3d:sy n="1000000" d="1000000"/>
                    <am3d:sz n="1000000" d="1000000"/>
                  </am3d:scale>
                  <am3d:rot ax="6129047" ay="-3182407" az="-6304827"/>
                  <am3d:postTrans dx="0" dy="0" dz="0"/>
                </am3d:trans>
                <am3d:raster rName="Office3DRenderer" rVer="16.0.8326">
                  <am3d:blip r:embed="rId20"/>
                </am3d:raster>
                <am3d:objViewport viewportSz="608455"/>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32" name="3D-Modell 31" descr="Roter Zylinder">
              <a:extLst>
                <a:ext uri="{FF2B5EF4-FFF2-40B4-BE49-F238E27FC236}">
                  <a16:creationId xmlns:a16="http://schemas.microsoft.com/office/drawing/2014/main" id="{D1421B09-C9D8-4CA1-A17A-F8B2733CC39D}"/>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20"/>
            <a:stretch>
              <a:fillRect/>
            </a:stretch>
          </xdr:blipFill>
          <xdr:spPr>
            <a:xfrm>
              <a:off x="2484257" y="55039369"/>
              <a:ext cx="419009" cy="520906"/>
            </a:xfrm>
            <a:prstGeom prst="rect">
              <a:avLst/>
            </a:prstGeom>
            <a:effectLst>
              <a:outerShdw blurRad="50800" dist="38100" dir="2700000" algn="tl" rotWithShape="0">
                <a:prstClr val="black">
                  <a:alpha val="40000"/>
                </a:prstClr>
              </a:outerShdw>
            </a:effectLst>
          </xdr:spPr>
        </xdr:pic>
      </mc:Fallback>
    </mc:AlternateContent>
    <xdr:clientData/>
  </xdr:twoCellAnchor>
  <xdr:twoCellAnchor editAs="oneCell">
    <xdr:from>
      <xdr:col>12</xdr:col>
      <xdr:colOff>328781</xdr:colOff>
      <xdr:row>160</xdr:row>
      <xdr:rowOff>92582</xdr:rowOff>
    </xdr:from>
    <xdr:to>
      <xdr:col>18</xdr:col>
      <xdr:colOff>541</xdr:colOff>
      <xdr:row>176</xdr:row>
      <xdr:rowOff>93712</xdr:rowOff>
    </xdr:to>
    <xdr:pic>
      <xdr:nvPicPr>
        <xdr:cNvPr id="33" name="Grafik 32">
          <a:extLst>
            <a:ext uri="{FF2B5EF4-FFF2-40B4-BE49-F238E27FC236}">
              <a16:creationId xmlns:a16="http://schemas.microsoft.com/office/drawing/2014/main" id="{DA275877-A0D8-419F-9655-3684DD9BA009}"/>
            </a:ext>
          </a:extLst>
        </xdr:cNvPr>
        <xdr:cNvPicPr>
          <a:picLocks noChangeAspect="1"/>
        </xdr:cNvPicPr>
      </xdr:nvPicPr>
      <xdr:blipFill>
        <a:blip xmlns:r="http://schemas.openxmlformats.org/officeDocument/2006/relationships" r:embed="rId21"/>
        <a:stretch>
          <a:fillRect/>
        </a:stretch>
      </xdr:blipFill>
      <xdr:spPr>
        <a:xfrm>
          <a:off x="10373846" y="54950867"/>
          <a:ext cx="4152320" cy="2702421"/>
        </a:xfrm>
        <a:prstGeom prst="rect">
          <a:avLst/>
        </a:prstGeom>
      </xdr:spPr>
    </xdr:pic>
    <xdr:clientData/>
  </xdr:twoCellAnchor>
  <xdr:twoCellAnchor editAs="oneCell">
    <xdr:from>
      <xdr:col>51</xdr:col>
      <xdr:colOff>112668</xdr:colOff>
      <xdr:row>140</xdr:row>
      <xdr:rowOff>247990</xdr:rowOff>
    </xdr:from>
    <xdr:to>
      <xdr:col>55</xdr:col>
      <xdr:colOff>65646</xdr:colOff>
      <xdr:row>143</xdr:row>
      <xdr:rowOff>27736</xdr:rowOff>
    </xdr:to>
    <xdr:pic>
      <xdr:nvPicPr>
        <xdr:cNvPr id="34" name="Grafik 33">
          <a:extLst>
            <a:ext uri="{FF2B5EF4-FFF2-40B4-BE49-F238E27FC236}">
              <a16:creationId xmlns:a16="http://schemas.microsoft.com/office/drawing/2014/main" id="{313538CA-E14C-4901-8BAF-C01AB2DF157B}"/>
            </a:ext>
          </a:extLst>
        </xdr:cNvPr>
        <xdr:cNvPicPr>
          <a:picLocks noChangeAspect="1"/>
        </xdr:cNvPicPr>
      </xdr:nvPicPr>
      <xdr:blipFill>
        <a:blip xmlns:r="http://schemas.openxmlformats.org/officeDocument/2006/relationships" r:embed="rId22"/>
        <a:stretch>
          <a:fillRect/>
        </a:stretch>
      </xdr:blipFill>
      <xdr:spPr>
        <a:xfrm>
          <a:off x="42108393" y="42510415"/>
          <a:ext cx="3686778" cy="2208621"/>
        </a:xfrm>
        <a:prstGeom prst="rect">
          <a:avLst/>
        </a:prstGeom>
      </xdr:spPr>
    </xdr:pic>
    <xdr:clientData/>
  </xdr:twoCellAnchor>
  <xdr:twoCellAnchor editAs="oneCell">
    <xdr:from>
      <xdr:col>4</xdr:col>
      <xdr:colOff>2400349</xdr:colOff>
      <xdr:row>113</xdr:row>
      <xdr:rowOff>45140</xdr:rowOff>
    </xdr:from>
    <xdr:to>
      <xdr:col>12</xdr:col>
      <xdr:colOff>712801</xdr:colOff>
      <xdr:row>119</xdr:row>
      <xdr:rowOff>208413</xdr:rowOff>
    </xdr:to>
    <xdr:pic>
      <xdr:nvPicPr>
        <xdr:cNvPr id="35" name="cc-m-imagesubtitle-image-13708625834">
          <a:extLst>
            <a:ext uri="{FF2B5EF4-FFF2-40B4-BE49-F238E27FC236}">
              <a16:creationId xmlns:a16="http://schemas.microsoft.com/office/drawing/2014/main" id="{DB903FFB-5B7D-424F-AC7C-39A4C8AA532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19649" y="23649995"/>
          <a:ext cx="6342027" cy="3304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49</xdr:col>
      <xdr:colOff>738505</xdr:colOff>
      <xdr:row>111</xdr:row>
      <xdr:rowOff>76200</xdr:rowOff>
    </xdr:from>
    <xdr:to>
      <xdr:col>53</xdr:col>
      <xdr:colOff>786130</xdr:colOff>
      <xdr:row>116</xdr:row>
      <xdr:rowOff>158750</xdr:rowOff>
    </xdr:to>
    <xdr:graphicFrame macro="">
      <xdr:nvGraphicFramePr>
        <xdr:cNvPr id="36" name="Diagramm 35">
          <a:extLst>
            <a:ext uri="{FF2B5EF4-FFF2-40B4-BE49-F238E27FC236}">
              <a16:creationId xmlns:a16="http://schemas.microsoft.com/office/drawing/2014/main" id="{DE93A8F0-3A78-4D89-A597-DC7B24CC6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42</xdr:col>
      <xdr:colOff>18172</xdr:colOff>
      <xdr:row>114</xdr:row>
      <xdr:rowOff>150817</xdr:rowOff>
    </xdr:from>
    <xdr:to>
      <xdr:col>42</xdr:col>
      <xdr:colOff>379389</xdr:colOff>
      <xdr:row>114</xdr:row>
      <xdr:rowOff>455849</xdr:rowOff>
    </xdr:to>
    <xdr:pic>
      <xdr:nvPicPr>
        <xdr:cNvPr id="37" name="Grafik 36">
          <a:extLst>
            <a:ext uri="{FF2B5EF4-FFF2-40B4-BE49-F238E27FC236}">
              <a16:creationId xmlns:a16="http://schemas.microsoft.com/office/drawing/2014/main" id="{D0AE3D89-010E-4DAD-AF4B-57DB991E960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4298647" y="24344317"/>
          <a:ext cx="361217" cy="305032"/>
        </a:xfrm>
        <a:prstGeom prst="rect">
          <a:avLst/>
        </a:prstGeom>
      </xdr:spPr>
    </xdr:pic>
    <xdr:clientData/>
  </xdr:twoCellAnchor>
  <xdr:twoCellAnchor editAs="oneCell">
    <xdr:from>
      <xdr:col>42</xdr:col>
      <xdr:colOff>38537</xdr:colOff>
      <xdr:row>115</xdr:row>
      <xdr:rowOff>117231</xdr:rowOff>
    </xdr:from>
    <xdr:to>
      <xdr:col>42</xdr:col>
      <xdr:colOff>275907</xdr:colOff>
      <xdr:row>115</xdr:row>
      <xdr:rowOff>399698</xdr:rowOff>
    </xdr:to>
    <xdr:pic>
      <xdr:nvPicPr>
        <xdr:cNvPr id="38" name="Grafik 37">
          <a:extLst>
            <a:ext uri="{FF2B5EF4-FFF2-40B4-BE49-F238E27FC236}">
              <a16:creationId xmlns:a16="http://schemas.microsoft.com/office/drawing/2014/main" id="{4C083DDA-5F9B-4B38-9789-3498CAFF19F5}"/>
            </a:ext>
          </a:extLst>
        </xdr:cNvPr>
        <xdr:cNvPicPr>
          <a:picLocks noChangeAspect="1"/>
        </xdr:cNvPicPr>
      </xdr:nvPicPr>
      <xdr:blipFill rotWithShape="1">
        <a:blip xmlns:r="http://schemas.openxmlformats.org/officeDocument/2006/relationships" r:embed="rId26"/>
        <a:srcRect r="1145"/>
        <a:stretch/>
      </xdr:blipFill>
      <xdr:spPr>
        <a:xfrm>
          <a:off x="34319012" y="24840321"/>
          <a:ext cx="237370" cy="286277"/>
        </a:xfrm>
        <a:prstGeom prst="rect">
          <a:avLst/>
        </a:prstGeom>
      </xdr:spPr>
    </xdr:pic>
    <xdr:clientData/>
  </xdr:twoCellAnchor>
  <xdr:twoCellAnchor>
    <xdr:from>
      <xdr:col>42</xdr:col>
      <xdr:colOff>58615</xdr:colOff>
      <xdr:row>118</xdr:row>
      <xdr:rowOff>212480</xdr:rowOff>
    </xdr:from>
    <xdr:to>
      <xdr:col>42</xdr:col>
      <xdr:colOff>381000</xdr:colOff>
      <xdr:row>118</xdr:row>
      <xdr:rowOff>333519</xdr:rowOff>
    </xdr:to>
    <xdr:sp macro="" textlink="">
      <xdr:nvSpPr>
        <xdr:cNvPr id="39" name="Würfel 38">
          <a:extLst>
            <a:ext uri="{FF2B5EF4-FFF2-40B4-BE49-F238E27FC236}">
              <a16:creationId xmlns:a16="http://schemas.microsoft.com/office/drawing/2014/main" id="{A3DABFFC-D4D2-4666-936F-CFAACC3A5586}"/>
            </a:ext>
          </a:extLst>
        </xdr:cNvPr>
        <xdr:cNvSpPr/>
      </xdr:nvSpPr>
      <xdr:spPr>
        <a:xfrm>
          <a:off x="34339090" y="26450045"/>
          <a:ext cx="322385" cy="122944"/>
        </a:xfrm>
        <a:prstGeom prst="cube">
          <a:avLst>
            <a:gd name="adj" fmla="val 93978"/>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36</xdr:col>
      <xdr:colOff>542191</xdr:colOff>
      <xdr:row>115</xdr:row>
      <xdr:rowOff>227135</xdr:rowOff>
    </xdr:from>
    <xdr:to>
      <xdr:col>37</xdr:col>
      <xdr:colOff>9231</xdr:colOff>
      <xdr:row>115</xdr:row>
      <xdr:rowOff>476836</xdr:rowOff>
    </xdr:to>
    <xdr:grpSp>
      <xdr:nvGrpSpPr>
        <xdr:cNvPr id="40" name="Gruppieren 39">
          <a:extLst>
            <a:ext uri="{FF2B5EF4-FFF2-40B4-BE49-F238E27FC236}">
              <a16:creationId xmlns:a16="http://schemas.microsoft.com/office/drawing/2014/main" id="{1E1A2B3C-3591-46DC-8857-6DCBE9BE45EC}"/>
            </a:ext>
          </a:extLst>
        </xdr:cNvPr>
        <xdr:cNvGrpSpPr/>
      </xdr:nvGrpSpPr>
      <xdr:grpSpPr>
        <a:xfrm>
          <a:off x="31556182" y="25162928"/>
          <a:ext cx="426109" cy="249701"/>
          <a:chOff x="31533172" y="24607288"/>
          <a:chExt cx="364442" cy="249737"/>
        </a:xfrm>
      </xdr:grpSpPr>
      <xdr:pic>
        <xdr:nvPicPr>
          <xdr:cNvPr id="41" name="Grafik 40">
            <a:extLst>
              <a:ext uri="{FF2B5EF4-FFF2-40B4-BE49-F238E27FC236}">
                <a16:creationId xmlns:a16="http://schemas.microsoft.com/office/drawing/2014/main" id="{1C6F6AAE-934A-D998-2575-3C97A2CD7842}"/>
              </a:ext>
            </a:extLst>
          </xdr:cNvPr>
          <xdr:cNvPicPr>
            <a:picLocks noChangeAspect="1"/>
          </xdr:cNvPicPr>
        </xdr:nvPicPr>
        <xdr:blipFill rotWithShape="1">
          <a:blip xmlns:r="http://schemas.openxmlformats.org/officeDocument/2006/relationships" r:embed="rId26"/>
          <a:srcRect r="1145"/>
          <a:stretch/>
        </xdr:blipFill>
        <xdr:spPr>
          <a:xfrm>
            <a:off x="31591786" y="24607288"/>
            <a:ext cx="181563" cy="211139"/>
          </a:xfrm>
          <a:prstGeom prst="rect">
            <a:avLst/>
          </a:prstGeom>
        </xdr:spPr>
      </xdr:pic>
      <xdr:sp macro="" textlink="">
        <xdr:nvSpPr>
          <xdr:cNvPr id="42" name="Würfel 41">
            <a:extLst>
              <a:ext uri="{FF2B5EF4-FFF2-40B4-BE49-F238E27FC236}">
                <a16:creationId xmlns:a16="http://schemas.microsoft.com/office/drawing/2014/main" id="{1ED33330-124E-EEE9-57C9-CEC95C689F6C}"/>
              </a:ext>
            </a:extLst>
          </xdr:cNvPr>
          <xdr:cNvSpPr/>
        </xdr:nvSpPr>
        <xdr:spPr>
          <a:xfrm>
            <a:off x="31533172" y="24722651"/>
            <a:ext cx="364442" cy="134374"/>
          </a:xfrm>
          <a:prstGeom prst="cube">
            <a:avLst>
              <a:gd name="adj" fmla="val 93978"/>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41</xdr:col>
      <xdr:colOff>476250</xdr:colOff>
      <xdr:row>116</xdr:row>
      <xdr:rowOff>58615</xdr:rowOff>
    </xdr:from>
    <xdr:to>
      <xdr:col>42</xdr:col>
      <xdr:colOff>343756</xdr:colOff>
      <xdr:row>117</xdr:row>
      <xdr:rowOff>47257</xdr:rowOff>
    </xdr:to>
    <xdr:pic>
      <xdr:nvPicPr>
        <xdr:cNvPr id="43" name="Grafik 42">
          <a:extLst>
            <a:ext uri="{FF2B5EF4-FFF2-40B4-BE49-F238E27FC236}">
              <a16:creationId xmlns:a16="http://schemas.microsoft.com/office/drawing/2014/main" id="{6703457A-55CD-4239-BD2D-38FE546BE38D}"/>
            </a:ext>
          </a:extLst>
        </xdr:cNvPr>
        <xdr:cNvPicPr>
          <a:picLocks noChangeAspect="1"/>
        </xdr:cNvPicPr>
      </xdr:nvPicPr>
      <xdr:blipFill>
        <a:blip xmlns:r="http://schemas.openxmlformats.org/officeDocument/2006/relationships" r:embed="rId27"/>
        <a:stretch>
          <a:fillRect/>
        </a:stretch>
      </xdr:blipFill>
      <xdr:spPr>
        <a:xfrm>
          <a:off x="34223325" y="25290340"/>
          <a:ext cx="400906" cy="493468"/>
        </a:xfrm>
        <a:prstGeom prst="rect">
          <a:avLst/>
        </a:prstGeom>
      </xdr:spPr>
    </xdr:pic>
    <xdr:clientData/>
  </xdr:twoCellAnchor>
  <xdr:twoCellAnchor>
    <xdr:from>
      <xdr:col>43</xdr:col>
      <xdr:colOff>495152</xdr:colOff>
      <xdr:row>118</xdr:row>
      <xdr:rowOff>211016</xdr:rowOff>
    </xdr:from>
    <xdr:to>
      <xdr:col>44</xdr:col>
      <xdr:colOff>456320</xdr:colOff>
      <xdr:row>118</xdr:row>
      <xdr:rowOff>458812</xdr:rowOff>
    </xdr:to>
    <xdr:grpSp>
      <xdr:nvGrpSpPr>
        <xdr:cNvPr id="44" name="Gruppieren 43">
          <a:extLst>
            <a:ext uri="{FF2B5EF4-FFF2-40B4-BE49-F238E27FC236}">
              <a16:creationId xmlns:a16="http://schemas.microsoft.com/office/drawing/2014/main" id="{989788D6-249B-4F82-BA3A-D4AD4747C46E}"/>
            </a:ext>
          </a:extLst>
        </xdr:cNvPr>
        <xdr:cNvGrpSpPr/>
      </xdr:nvGrpSpPr>
      <xdr:grpSpPr>
        <a:xfrm>
          <a:off x="36296014" y="26664240"/>
          <a:ext cx="466978" cy="247796"/>
          <a:chOff x="31533172" y="24607288"/>
          <a:chExt cx="364442" cy="249737"/>
        </a:xfrm>
      </xdr:grpSpPr>
      <xdr:pic>
        <xdr:nvPicPr>
          <xdr:cNvPr id="45" name="Grafik 44">
            <a:extLst>
              <a:ext uri="{FF2B5EF4-FFF2-40B4-BE49-F238E27FC236}">
                <a16:creationId xmlns:a16="http://schemas.microsoft.com/office/drawing/2014/main" id="{7DA47A2F-AE4E-D14B-E4FA-9985B2466F7A}"/>
              </a:ext>
            </a:extLst>
          </xdr:cNvPr>
          <xdr:cNvPicPr>
            <a:picLocks noChangeAspect="1"/>
          </xdr:cNvPicPr>
        </xdr:nvPicPr>
        <xdr:blipFill rotWithShape="1">
          <a:blip xmlns:r="http://schemas.openxmlformats.org/officeDocument/2006/relationships" r:embed="rId26"/>
          <a:srcRect r="1145"/>
          <a:stretch/>
        </xdr:blipFill>
        <xdr:spPr>
          <a:xfrm>
            <a:off x="31591786" y="24607288"/>
            <a:ext cx="181563" cy="211139"/>
          </a:xfrm>
          <a:prstGeom prst="rect">
            <a:avLst/>
          </a:prstGeom>
        </xdr:spPr>
      </xdr:pic>
      <xdr:sp macro="" textlink="">
        <xdr:nvSpPr>
          <xdr:cNvPr id="46" name="Würfel 45">
            <a:extLst>
              <a:ext uri="{FF2B5EF4-FFF2-40B4-BE49-F238E27FC236}">
                <a16:creationId xmlns:a16="http://schemas.microsoft.com/office/drawing/2014/main" id="{986830C5-5E09-CEEE-855E-310BD7FBA0E0}"/>
              </a:ext>
            </a:extLst>
          </xdr:cNvPr>
          <xdr:cNvSpPr/>
        </xdr:nvSpPr>
        <xdr:spPr>
          <a:xfrm>
            <a:off x="31533172" y="24722651"/>
            <a:ext cx="364442" cy="134374"/>
          </a:xfrm>
          <a:prstGeom prst="cube">
            <a:avLst>
              <a:gd name="adj" fmla="val 93978"/>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37</xdr:col>
      <xdr:colOff>45864</xdr:colOff>
      <xdr:row>117</xdr:row>
      <xdr:rowOff>139210</xdr:rowOff>
    </xdr:from>
    <xdr:to>
      <xdr:col>37</xdr:col>
      <xdr:colOff>307730</xdr:colOff>
      <xdr:row>117</xdr:row>
      <xdr:rowOff>426865</xdr:rowOff>
    </xdr:to>
    <xdr:sp macro="" textlink="">
      <xdr:nvSpPr>
        <xdr:cNvPr id="47" name="Zylinder 46">
          <a:extLst>
            <a:ext uri="{FF2B5EF4-FFF2-40B4-BE49-F238E27FC236}">
              <a16:creationId xmlns:a16="http://schemas.microsoft.com/office/drawing/2014/main" id="{8CEA4813-0B57-4772-8256-8D812426E886}"/>
            </a:ext>
          </a:extLst>
        </xdr:cNvPr>
        <xdr:cNvSpPr/>
      </xdr:nvSpPr>
      <xdr:spPr>
        <a:xfrm>
          <a:off x="32023194" y="25877665"/>
          <a:ext cx="256151" cy="287655"/>
        </a:xfrm>
        <a:prstGeom prst="can">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500">
              <a:solidFill>
                <a:schemeClr val="tx1"/>
              </a:solidFill>
            </a:rPr>
            <a:t>ÖL</a:t>
          </a:r>
        </a:p>
      </xdr:txBody>
    </xdr:sp>
    <xdr:clientData/>
  </xdr:twoCellAnchor>
  <xdr:twoCellAnchor>
    <xdr:from>
      <xdr:col>42</xdr:col>
      <xdr:colOff>58909</xdr:colOff>
      <xdr:row>117</xdr:row>
      <xdr:rowOff>131884</xdr:rowOff>
    </xdr:from>
    <xdr:to>
      <xdr:col>42</xdr:col>
      <xdr:colOff>486813</xdr:colOff>
      <xdr:row>118</xdr:row>
      <xdr:rowOff>20367</xdr:rowOff>
    </xdr:to>
    <xdr:grpSp>
      <xdr:nvGrpSpPr>
        <xdr:cNvPr id="48" name="Gruppieren 47">
          <a:extLst>
            <a:ext uri="{FF2B5EF4-FFF2-40B4-BE49-F238E27FC236}">
              <a16:creationId xmlns:a16="http://schemas.microsoft.com/office/drawing/2014/main" id="{73C34A75-8EBC-4FEA-82D9-A7EED155B1AB}"/>
            </a:ext>
          </a:extLst>
        </xdr:cNvPr>
        <xdr:cNvGrpSpPr/>
      </xdr:nvGrpSpPr>
      <xdr:grpSpPr>
        <a:xfrm>
          <a:off x="34335771" y="26079298"/>
          <a:ext cx="425999" cy="394293"/>
          <a:chOff x="34304948" y="25867994"/>
          <a:chExt cx="342898" cy="412065"/>
        </a:xfrm>
      </xdr:grpSpPr>
      <xdr:grpSp>
        <xdr:nvGrpSpPr>
          <xdr:cNvPr id="49" name="Gruppieren 48">
            <a:extLst>
              <a:ext uri="{FF2B5EF4-FFF2-40B4-BE49-F238E27FC236}">
                <a16:creationId xmlns:a16="http://schemas.microsoft.com/office/drawing/2014/main" id="{337AE7F9-114F-A2BD-00AF-49463AAAB6B5}"/>
              </a:ext>
            </a:extLst>
          </xdr:cNvPr>
          <xdr:cNvGrpSpPr/>
        </xdr:nvGrpSpPr>
        <xdr:grpSpPr>
          <a:xfrm>
            <a:off x="34304948" y="25869459"/>
            <a:ext cx="151959" cy="410600"/>
            <a:chOff x="39532561" y="23127286"/>
            <a:chExt cx="349787" cy="740020"/>
          </a:xfrm>
        </xdr:grpSpPr>
        <xdr:sp macro="" textlink="">
          <xdr:nvSpPr>
            <xdr:cNvPr id="53" name="Ellipse 52">
              <a:extLst>
                <a:ext uri="{FF2B5EF4-FFF2-40B4-BE49-F238E27FC236}">
                  <a16:creationId xmlns:a16="http://schemas.microsoft.com/office/drawing/2014/main" id="{A72BED1B-E46B-1B31-3E87-9A64DA0A9CF7}"/>
                </a:ext>
              </a:extLst>
            </xdr:cNvPr>
            <xdr:cNvSpPr/>
          </xdr:nvSpPr>
          <xdr:spPr>
            <a:xfrm>
              <a:off x="39598503" y="23127286"/>
              <a:ext cx="236366" cy="2092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54" name="Bogen 53">
              <a:extLst>
                <a:ext uri="{FF2B5EF4-FFF2-40B4-BE49-F238E27FC236}">
                  <a16:creationId xmlns:a16="http://schemas.microsoft.com/office/drawing/2014/main" id="{3769B7A8-2245-C70A-E606-CC00C6B0DB99}"/>
                </a:ext>
              </a:extLst>
            </xdr:cNvPr>
            <xdr:cNvSpPr/>
          </xdr:nvSpPr>
          <xdr:spPr>
            <a:xfrm>
              <a:off x="39532561" y="23358232"/>
              <a:ext cx="349787" cy="509074"/>
            </a:xfrm>
            <a:prstGeom prst="arc">
              <a:avLst>
                <a:gd name="adj1" fmla="val 10887832"/>
                <a:gd name="adj2" fmla="val 0"/>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grpSp>
        <xdr:nvGrpSpPr>
          <xdr:cNvPr id="50" name="Gruppieren 49">
            <a:extLst>
              <a:ext uri="{FF2B5EF4-FFF2-40B4-BE49-F238E27FC236}">
                <a16:creationId xmlns:a16="http://schemas.microsoft.com/office/drawing/2014/main" id="{8FF04802-7498-CDED-31AA-A2D136F8C812}"/>
              </a:ext>
            </a:extLst>
          </xdr:cNvPr>
          <xdr:cNvGrpSpPr/>
        </xdr:nvGrpSpPr>
        <xdr:grpSpPr>
          <a:xfrm>
            <a:off x="34492077" y="25867994"/>
            <a:ext cx="155769" cy="410600"/>
            <a:chOff x="39532561" y="23127286"/>
            <a:chExt cx="349787" cy="740020"/>
          </a:xfrm>
        </xdr:grpSpPr>
        <xdr:sp macro="" textlink="">
          <xdr:nvSpPr>
            <xdr:cNvPr id="51" name="Ellipse 50">
              <a:extLst>
                <a:ext uri="{FF2B5EF4-FFF2-40B4-BE49-F238E27FC236}">
                  <a16:creationId xmlns:a16="http://schemas.microsoft.com/office/drawing/2014/main" id="{57D84CF0-424B-A66F-5A23-E7E1C22C17BB}"/>
                </a:ext>
              </a:extLst>
            </xdr:cNvPr>
            <xdr:cNvSpPr/>
          </xdr:nvSpPr>
          <xdr:spPr>
            <a:xfrm>
              <a:off x="39598503" y="23127286"/>
              <a:ext cx="236366" cy="2092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52" name="Bogen 51">
              <a:extLst>
                <a:ext uri="{FF2B5EF4-FFF2-40B4-BE49-F238E27FC236}">
                  <a16:creationId xmlns:a16="http://schemas.microsoft.com/office/drawing/2014/main" id="{9B7767B0-20DF-5556-339B-750453A4A730}"/>
                </a:ext>
              </a:extLst>
            </xdr:cNvPr>
            <xdr:cNvSpPr/>
          </xdr:nvSpPr>
          <xdr:spPr>
            <a:xfrm>
              <a:off x="39532561" y="23358232"/>
              <a:ext cx="349787" cy="509074"/>
            </a:xfrm>
            <a:prstGeom prst="arc">
              <a:avLst>
                <a:gd name="adj1" fmla="val 10887832"/>
                <a:gd name="adj2" fmla="val 0"/>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grpSp>
    <xdr:clientData/>
  </xdr:twoCellAnchor>
  <xdr:twoCellAnchor>
    <xdr:from>
      <xdr:col>4</xdr:col>
      <xdr:colOff>67408</xdr:colOff>
      <xdr:row>126</xdr:row>
      <xdr:rowOff>386861</xdr:rowOff>
    </xdr:from>
    <xdr:to>
      <xdr:col>4</xdr:col>
      <xdr:colOff>492369</xdr:colOff>
      <xdr:row>126</xdr:row>
      <xdr:rowOff>583223</xdr:rowOff>
    </xdr:to>
    <xdr:sp macro="" textlink="">
      <xdr:nvSpPr>
        <xdr:cNvPr id="55" name="Rechteck 54">
          <a:hlinkClick xmlns:r="http://schemas.openxmlformats.org/officeDocument/2006/relationships" r:id="rId28"/>
          <a:extLst>
            <a:ext uri="{FF2B5EF4-FFF2-40B4-BE49-F238E27FC236}">
              <a16:creationId xmlns:a16="http://schemas.microsoft.com/office/drawing/2014/main" id="{729E2CB5-8B3F-4297-889F-5DEB2B989806}"/>
            </a:ext>
          </a:extLst>
        </xdr:cNvPr>
        <xdr:cNvSpPr/>
      </xdr:nvSpPr>
      <xdr:spPr>
        <a:xfrm>
          <a:off x="2084803" y="32764241"/>
          <a:ext cx="430676" cy="1925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KfW</a:t>
          </a:r>
        </a:p>
      </xdr:txBody>
    </xdr:sp>
    <xdr:clientData/>
  </xdr:twoCellAnchor>
  <xdr:twoCellAnchor>
    <xdr:from>
      <xdr:col>4</xdr:col>
      <xdr:colOff>545122</xdr:colOff>
      <xdr:row>126</xdr:row>
      <xdr:rowOff>383931</xdr:rowOff>
    </xdr:from>
    <xdr:to>
      <xdr:col>4</xdr:col>
      <xdr:colOff>2039815</xdr:colOff>
      <xdr:row>126</xdr:row>
      <xdr:rowOff>580293</xdr:rowOff>
    </xdr:to>
    <xdr:sp macro="" textlink="">
      <xdr:nvSpPr>
        <xdr:cNvPr id="56" name="Rechteck 55">
          <a:hlinkClick xmlns:r="http://schemas.openxmlformats.org/officeDocument/2006/relationships" r:id="rId29"/>
          <a:extLst>
            <a:ext uri="{FF2B5EF4-FFF2-40B4-BE49-F238E27FC236}">
              <a16:creationId xmlns:a16="http://schemas.microsoft.com/office/drawing/2014/main" id="{3B8AA2C4-2D65-4DB9-9A84-C56494036FE1}"/>
            </a:ext>
          </a:extLst>
        </xdr:cNvPr>
        <xdr:cNvSpPr/>
      </xdr:nvSpPr>
      <xdr:spPr>
        <a:xfrm>
          <a:off x="2562517" y="32755596"/>
          <a:ext cx="1496598" cy="2020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a:t>Wasserstofferzeugung</a:t>
          </a:r>
          <a:endParaRPr lang="de-DE" sz="1100"/>
        </a:p>
      </xdr:txBody>
    </xdr:sp>
    <xdr:clientData/>
  </xdr:twoCellAnchor>
  <xdr:twoCellAnchor>
    <xdr:from>
      <xdr:col>4</xdr:col>
      <xdr:colOff>2080846</xdr:colOff>
      <xdr:row>126</xdr:row>
      <xdr:rowOff>383931</xdr:rowOff>
    </xdr:from>
    <xdr:to>
      <xdr:col>5</xdr:col>
      <xdr:colOff>723900</xdr:colOff>
      <xdr:row>126</xdr:row>
      <xdr:rowOff>580293</xdr:rowOff>
    </xdr:to>
    <xdr:sp macro="" textlink="">
      <xdr:nvSpPr>
        <xdr:cNvPr id="57" name="Rechteck 56">
          <a:hlinkClick xmlns:r="http://schemas.openxmlformats.org/officeDocument/2006/relationships" r:id="rId30"/>
          <a:extLst>
            <a:ext uri="{FF2B5EF4-FFF2-40B4-BE49-F238E27FC236}">
              <a16:creationId xmlns:a16="http://schemas.microsoft.com/office/drawing/2014/main" id="{4171859C-FB1D-4351-8D8E-399E1F284E1F}"/>
            </a:ext>
          </a:extLst>
        </xdr:cNvPr>
        <xdr:cNvSpPr/>
      </xdr:nvSpPr>
      <xdr:spPr>
        <a:xfrm>
          <a:off x="4096336" y="32755596"/>
          <a:ext cx="1066214" cy="2020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Brennstoffzelle</a:t>
          </a:r>
        </a:p>
      </xdr:txBody>
    </xdr:sp>
    <xdr:clientData/>
  </xdr:twoCellAnchor>
  <xdr:twoCellAnchor>
    <xdr:from>
      <xdr:col>4</xdr:col>
      <xdr:colOff>2077916</xdr:colOff>
      <xdr:row>129</xdr:row>
      <xdr:rowOff>398584</xdr:rowOff>
    </xdr:from>
    <xdr:to>
      <xdr:col>5</xdr:col>
      <xdr:colOff>337039</xdr:colOff>
      <xdr:row>129</xdr:row>
      <xdr:rowOff>594946</xdr:rowOff>
    </xdr:to>
    <xdr:sp macro="" textlink="">
      <xdr:nvSpPr>
        <xdr:cNvPr id="58" name="Rechteck 57">
          <a:hlinkClick xmlns:r="http://schemas.openxmlformats.org/officeDocument/2006/relationships" r:id="rId31"/>
          <a:extLst>
            <a:ext uri="{FF2B5EF4-FFF2-40B4-BE49-F238E27FC236}">
              <a16:creationId xmlns:a16="http://schemas.microsoft.com/office/drawing/2014/main" id="{3B313C33-C60C-4C08-A745-FA17417EB90A}"/>
            </a:ext>
          </a:extLst>
        </xdr:cNvPr>
        <xdr:cNvSpPr/>
      </xdr:nvSpPr>
      <xdr:spPr>
        <a:xfrm>
          <a:off x="4097216" y="34802884"/>
          <a:ext cx="676568" cy="1925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carmen</a:t>
          </a:r>
        </a:p>
      </xdr:txBody>
    </xdr:sp>
    <xdr:clientData/>
  </xdr:twoCellAnchor>
  <xdr:twoCellAnchor>
    <xdr:from>
      <xdr:col>5</xdr:col>
      <xdr:colOff>372207</xdr:colOff>
      <xdr:row>129</xdr:row>
      <xdr:rowOff>404446</xdr:rowOff>
    </xdr:from>
    <xdr:to>
      <xdr:col>5</xdr:col>
      <xdr:colOff>1699846</xdr:colOff>
      <xdr:row>129</xdr:row>
      <xdr:rowOff>600808</xdr:rowOff>
    </xdr:to>
    <xdr:sp macro="" textlink="">
      <xdr:nvSpPr>
        <xdr:cNvPr id="59" name="Rechteck 58">
          <a:hlinkClick xmlns:r="http://schemas.openxmlformats.org/officeDocument/2006/relationships" r:id="rId32"/>
          <a:extLst>
            <a:ext uri="{FF2B5EF4-FFF2-40B4-BE49-F238E27FC236}">
              <a16:creationId xmlns:a16="http://schemas.microsoft.com/office/drawing/2014/main" id="{640A49A8-A8B3-41A4-8E12-FB49EC4BEDD1}"/>
            </a:ext>
          </a:extLst>
        </xdr:cNvPr>
        <xdr:cNvSpPr/>
      </xdr:nvSpPr>
      <xdr:spPr>
        <a:xfrm>
          <a:off x="4808952" y="34804936"/>
          <a:ext cx="1325734" cy="1982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Stiftung_Warentest_</a:t>
          </a:r>
        </a:p>
      </xdr:txBody>
    </xdr:sp>
    <xdr:clientData/>
  </xdr:twoCellAnchor>
  <xdr:twoCellAnchor editAs="oneCell">
    <xdr:from>
      <xdr:col>54</xdr:col>
      <xdr:colOff>727365</xdr:colOff>
      <xdr:row>104</xdr:row>
      <xdr:rowOff>145473</xdr:rowOff>
    </xdr:from>
    <xdr:to>
      <xdr:col>61</xdr:col>
      <xdr:colOff>762002</xdr:colOff>
      <xdr:row>116</xdr:row>
      <xdr:rowOff>446708</xdr:rowOff>
    </xdr:to>
    <xdr:pic>
      <xdr:nvPicPr>
        <xdr:cNvPr id="60" name="Grafik 59">
          <a:extLst>
            <a:ext uri="{FF2B5EF4-FFF2-40B4-BE49-F238E27FC236}">
              <a16:creationId xmlns:a16="http://schemas.microsoft.com/office/drawing/2014/main" id="{5A67CA4D-1F4A-4B87-AEB3-50CAB57F3804}"/>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5662505" y="21898668"/>
          <a:ext cx="5572472" cy="3779764"/>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ngbu/Dropbox/VZ/20220527%20Heizung%20Mobilitaet%20uebersich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V%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896C~1.PET/AppData/Local/Temp/DE_SMART_SPP_LCC_CO2_tool_v1-5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ngbu/AppData/Roaming/Microsoft/Excel/Gradtagzahlen-Deutschland%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lm/AppData/Local/Temp/Berechnung%20f&#252;r%20Energiestr&#246;m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hydraulisch Abglei 190815"/>
      <sheetName val="HFH Abrechnung"/>
      <sheetName val="Heiz Planung"/>
      <sheetName val="Planung"/>
      <sheetName val="Verschlechterungsverbot"/>
      <sheetName val="Übersicht Förderungen Heizung"/>
      <sheetName val="Heizlast Bestand nach 12831"/>
      <sheetName val="Heizlast Bestand"/>
      <sheetName val="Heizlast Neubau"/>
      <sheetName val="Kühllast Neubau"/>
      <sheetName val="Kühlung"/>
      <sheetName val="WP Sonde Kollektor"/>
      <sheetName val="U-Wert vereinfacht"/>
      <sheetName val="PV 09.06"/>
      <sheetName val="Laden 09.06"/>
      <sheetName val="Kindgerecht-nicht nach öff Hand"/>
      <sheetName val="WP"/>
    </sheetNames>
    <sheetDataSet>
      <sheetData sheetId="0">
        <row r="120">
          <cell r="AT120">
            <v>147.34299516908212</v>
          </cell>
        </row>
        <row r="121">
          <cell r="AT121">
            <v>176.32850241545893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s>
    <sheetDataSet>
      <sheetData sheetId="0">
        <row r="2">
          <cell r="A2" t="str">
            <v>Jan</v>
          </cell>
          <cell r="B2">
            <v>72.5</v>
          </cell>
          <cell r="C2">
            <v>81.8</v>
          </cell>
          <cell r="D2">
            <v>154.30000000000001</v>
          </cell>
        </row>
        <row r="3">
          <cell r="A3" t="str">
            <v>Feb</v>
          </cell>
          <cell r="B3">
            <v>85.8</v>
          </cell>
          <cell r="C3">
            <v>89.5</v>
          </cell>
          <cell r="D3">
            <v>175.3</v>
          </cell>
        </row>
        <row r="4">
          <cell r="A4" t="str">
            <v>Mrz</v>
          </cell>
          <cell r="B4">
            <v>338.7</v>
          </cell>
          <cell r="C4">
            <v>155.30000000000001</v>
          </cell>
          <cell r="D4">
            <v>494</v>
          </cell>
        </row>
        <row r="5">
          <cell r="A5" t="str">
            <v>Apr</v>
          </cell>
          <cell r="B5">
            <v>621.4</v>
          </cell>
          <cell r="C5">
            <v>186.3</v>
          </cell>
          <cell r="D5">
            <v>807.7</v>
          </cell>
        </row>
        <row r="6">
          <cell r="A6" t="str">
            <v>Mai</v>
          </cell>
          <cell r="B6">
            <v>648.70000000000005</v>
          </cell>
          <cell r="C6">
            <v>203.4</v>
          </cell>
          <cell r="D6">
            <v>852.1</v>
          </cell>
        </row>
        <row r="7">
          <cell r="A7" t="str">
            <v>Jun</v>
          </cell>
          <cell r="B7">
            <v>696.6</v>
          </cell>
          <cell r="C7">
            <v>191.4</v>
          </cell>
          <cell r="D7">
            <v>888</v>
          </cell>
        </row>
        <row r="8">
          <cell r="A8" t="str">
            <v>Jul</v>
          </cell>
          <cell r="B8">
            <v>534.4</v>
          </cell>
          <cell r="C8">
            <v>178.9</v>
          </cell>
          <cell r="D8">
            <v>713.3</v>
          </cell>
        </row>
        <row r="9">
          <cell r="A9" t="str">
            <v>Aug</v>
          </cell>
          <cell r="B9">
            <v>423.7</v>
          </cell>
          <cell r="C9">
            <v>169.5</v>
          </cell>
          <cell r="D9">
            <v>593.20000000000005</v>
          </cell>
        </row>
        <row r="10">
          <cell r="A10" t="str">
            <v>Sep</v>
          </cell>
          <cell r="B10">
            <v>364.1</v>
          </cell>
          <cell r="C10">
            <v>146.9</v>
          </cell>
          <cell r="D10">
            <v>511</v>
          </cell>
        </row>
        <row r="11">
          <cell r="A11" t="str">
            <v>Okt</v>
          </cell>
          <cell r="B11">
            <v>301.2</v>
          </cell>
          <cell r="C11">
            <v>131.9</v>
          </cell>
          <cell r="D11">
            <v>433.1</v>
          </cell>
        </row>
        <row r="12">
          <cell r="A12" t="str">
            <v>Nov</v>
          </cell>
          <cell r="B12">
            <v>50.5</v>
          </cell>
          <cell r="C12">
            <v>57</v>
          </cell>
          <cell r="D12">
            <v>107.5</v>
          </cell>
        </row>
        <row r="13">
          <cell r="A13" t="str">
            <v>Dez</v>
          </cell>
          <cell r="B13">
            <v>21.1</v>
          </cell>
          <cell r="C13">
            <v>34.1</v>
          </cell>
          <cell r="D13">
            <v>55.2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leitung"/>
      <sheetName val="Hauptseite"/>
      <sheetName val="LCC_Diagramme"/>
      <sheetName val="CO2_Diagramme"/>
      <sheetName val="Angebotsbewertung"/>
      <sheetName val="Umrechnungsfaktoren"/>
      <sheetName val="Glossar"/>
      <sheetName val="Emissionsfaktoren"/>
      <sheetName val="Regelmäßige Investitionen"/>
      <sheetName val="Betrieb"/>
      <sheetName val="Wartung"/>
      <sheetName val="CO2"/>
      <sheetName val="Jährliche LCC-Berechnung"/>
      <sheetName val="calc_CO2"/>
      <sheetName val="diverse"/>
      <sheetName val="MemoQ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F4" t="str">
            <v>[AUSWÄHLEN]</v>
          </cell>
          <cell r="M4" t="str">
            <v>keine Angabe</v>
          </cell>
        </row>
        <row r="5">
          <cell r="F5" t="str">
            <v>Belgien</v>
          </cell>
          <cell r="J5" t="str">
            <v>k.A.</v>
          </cell>
          <cell r="M5">
            <v>1</v>
          </cell>
        </row>
        <row r="6">
          <cell r="F6" t="str">
            <v>Bulgarien</v>
          </cell>
          <cell r="J6" t="str">
            <v>Produkt A</v>
          </cell>
          <cell r="M6">
            <v>2</v>
          </cell>
        </row>
        <row r="7">
          <cell r="F7" t="str">
            <v>Dänemark</v>
          </cell>
          <cell r="J7" t="str">
            <v>Produkt B</v>
          </cell>
          <cell r="M7">
            <v>3</v>
          </cell>
        </row>
        <row r="8">
          <cell r="F8" t="str">
            <v>Deutschland</v>
          </cell>
          <cell r="J8" t="str">
            <v>Produkt C</v>
          </cell>
          <cell r="M8">
            <v>4</v>
          </cell>
        </row>
        <row r="9">
          <cell r="F9" t="str">
            <v>Estland</v>
          </cell>
          <cell r="J9" t="str">
            <v>Produkt D</v>
          </cell>
          <cell r="M9">
            <v>5</v>
          </cell>
        </row>
        <row r="10">
          <cell r="F10" t="str">
            <v>Finnland</v>
          </cell>
          <cell r="J10" t="str">
            <v>Produkt E</v>
          </cell>
          <cell r="M10">
            <v>6</v>
          </cell>
        </row>
        <row r="11">
          <cell r="F11" t="str">
            <v>Frankreich</v>
          </cell>
          <cell r="J11" t="str">
            <v>Produkt F</v>
          </cell>
          <cell r="M11">
            <v>7</v>
          </cell>
        </row>
        <row r="12">
          <cell r="F12" t="str">
            <v>Griechenland</v>
          </cell>
          <cell r="J12" t="str">
            <v>Produkt G</v>
          </cell>
          <cell r="M12">
            <v>8</v>
          </cell>
        </row>
        <row r="13">
          <cell r="F13" t="str">
            <v>Irland</v>
          </cell>
          <cell r="J13" t="str">
            <v>Produkt H</v>
          </cell>
          <cell r="M13">
            <v>9</v>
          </cell>
        </row>
        <row r="14">
          <cell r="F14" t="str">
            <v>Italien</v>
          </cell>
          <cell r="J14" t="str">
            <v>Produkt I</v>
          </cell>
          <cell r="M14">
            <v>10</v>
          </cell>
        </row>
        <row r="15">
          <cell r="F15" t="str">
            <v>Lettland</v>
          </cell>
          <cell r="J15" t="str">
            <v>Produkt J</v>
          </cell>
          <cell r="M15">
            <v>11</v>
          </cell>
        </row>
        <row r="16">
          <cell r="F16" t="str">
            <v>Litauen</v>
          </cell>
          <cell r="J16" t="str">
            <v>Produkt K</v>
          </cell>
          <cell r="M16">
            <v>12</v>
          </cell>
        </row>
        <row r="17">
          <cell r="F17" t="str">
            <v>Luxemburg</v>
          </cell>
          <cell r="J17" t="str">
            <v>Produkt L</v>
          </cell>
          <cell r="M17">
            <v>13</v>
          </cell>
        </row>
        <row r="18">
          <cell r="F18" t="str">
            <v>Malta</v>
          </cell>
          <cell r="J18" t="str">
            <v>Produkt M</v>
          </cell>
          <cell r="M18">
            <v>14</v>
          </cell>
        </row>
        <row r="19">
          <cell r="F19" t="str">
            <v>Niederlande</v>
          </cell>
          <cell r="J19" t="str">
            <v>Produkt N</v>
          </cell>
          <cell r="M19">
            <v>15</v>
          </cell>
        </row>
        <row r="20">
          <cell r="F20" t="str">
            <v>Österreich</v>
          </cell>
          <cell r="J20" t="str">
            <v>Produkt O</v>
          </cell>
          <cell r="M20">
            <v>16</v>
          </cell>
        </row>
        <row r="21">
          <cell r="F21" t="str">
            <v>Polen</v>
          </cell>
          <cell r="M21">
            <v>17</v>
          </cell>
        </row>
        <row r="22">
          <cell r="F22" t="str">
            <v>Portugal</v>
          </cell>
          <cell r="M22">
            <v>18</v>
          </cell>
        </row>
        <row r="23">
          <cell r="F23" t="str">
            <v>Rumänien</v>
          </cell>
          <cell r="M23">
            <v>19</v>
          </cell>
        </row>
        <row r="24">
          <cell r="F24" t="str">
            <v>Schweden</v>
          </cell>
          <cell r="M24">
            <v>20</v>
          </cell>
        </row>
        <row r="25">
          <cell r="F25" t="str">
            <v>Slowakei</v>
          </cell>
          <cell r="M25">
            <v>21</v>
          </cell>
        </row>
        <row r="26">
          <cell r="F26" t="str">
            <v>Slowenien</v>
          </cell>
          <cell r="M26">
            <v>22</v>
          </cell>
        </row>
        <row r="27">
          <cell r="F27" t="str">
            <v>Spanien</v>
          </cell>
          <cell r="M27">
            <v>23</v>
          </cell>
        </row>
        <row r="28">
          <cell r="F28" t="str">
            <v>Tschechische Republik</v>
          </cell>
          <cell r="M28">
            <v>24</v>
          </cell>
        </row>
        <row r="29">
          <cell r="F29" t="str">
            <v>Ungarn</v>
          </cell>
          <cell r="M29">
            <v>25</v>
          </cell>
        </row>
        <row r="30">
          <cell r="F30" t="str">
            <v>Vereinigtes Königreich</v>
          </cell>
        </row>
        <row r="31">
          <cell r="F31" t="str">
            <v>Zypern</v>
          </cell>
        </row>
        <row r="32">
          <cell r="F32" t="str">
            <v>Anderes Land</v>
          </cell>
        </row>
      </sheetData>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UserForm"/>
      <sheetName val="Info"/>
      <sheetName val="Calc.Evaluation"/>
      <sheetName val="Tab.StationMapping"/>
      <sheetName val="List.Station.TA"/>
      <sheetName val="List.Exclude.Station.TA"/>
      <sheetName val="Data.TA.HD"/>
      <sheetName val="Data.Sol"/>
      <sheetName val="Tab.Estim.Sol.Orient"/>
    </sheetNames>
    <sheetDataSet>
      <sheetData sheetId="0"/>
      <sheetData sheetId="1">
        <row r="10">
          <cell r="AI10">
            <v>1</v>
          </cell>
        </row>
        <row r="12">
          <cell r="AI12">
            <v>2</v>
          </cell>
        </row>
      </sheetData>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bäude"/>
      <sheetName val="Standardwerte Klima"/>
    </sheetNames>
    <sheetDataSet>
      <sheetData sheetId="0" refreshError="1"/>
      <sheetData sheetId="1">
        <row r="6">
          <cell r="O6" t="str">
            <v>aktuell</v>
          </cell>
        </row>
        <row r="8">
          <cell r="O8">
            <v>3.5507499999999999</v>
          </cell>
        </row>
        <row r="12">
          <cell r="O12">
            <v>15</v>
          </cell>
        </row>
        <row r="14">
          <cell r="O14">
            <v>275</v>
          </cell>
        </row>
        <row r="17">
          <cell r="O17">
            <v>86.4</v>
          </cell>
        </row>
        <row r="18">
          <cell r="O18">
            <v>82.08</v>
          </cell>
        </row>
        <row r="21">
          <cell r="N21" t="str">
            <v>H</v>
          </cell>
          <cell r="O21">
            <v>745</v>
          </cell>
        </row>
        <row r="22">
          <cell r="N22" t="str">
            <v>S</v>
          </cell>
          <cell r="O22">
            <v>584</v>
          </cell>
        </row>
        <row r="23">
          <cell r="N23" t="str">
            <v>SO/SW</v>
          </cell>
          <cell r="O23">
            <v>565</v>
          </cell>
        </row>
        <row r="24">
          <cell r="N24" t="str">
            <v>O/W</v>
          </cell>
          <cell r="O24">
            <v>480</v>
          </cell>
        </row>
        <row r="25">
          <cell r="N25" t="str">
            <v>NO/NW</v>
          </cell>
          <cell r="O25">
            <v>400</v>
          </cell>
        </row>
        <row r="26">
          <cell r="N26" t="str">
            <v>N</v>
          </cell>
          <cell r="O26">
            <v>295</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ekobaudat.de/OEKOBAU.DAT/datasetdetail/process.xhtml?uuid=fb11f8ce-d3c7-4823-ba13-0c1f4a304799&amp;version=20.19.120&amp;stock=OBD_2021_II&amp;lang=de" TargetMode="External"/><Relationship Id="rId13" Type="http://schemas.openxmlformats.org/officeDocument/2006/relationships/hyperlink" Target="https://www.nachhaltigesbauen.de/fileadmin/pdf/QNG-BEG/Brosch%C3%BCre_QNG-Wohngeb%C3%A4ude_2021-12-01.pdf" TargetMode="External"/><Relationship Id="rId18" Type="http://schemas.openxmlformats.org/officeDocument/2006/relationships/hyperlink" Target="https://www.vzbv.de/sites/default/files/2021-09/2021-08_FOES-FEST_sozialvertr%C3%83%C2%A4gliche-CO2-Bepreisung-Verkehr.pdf" TargetMode="External"/><Relationship Id="rId26" Type="http://schemas.openxmlformats.org/officeDocument/2006/relationships/hyperlink" Target="https://advantag.de/de/klimaschutz/eu-emissionshandel" TargetMode="External"/><Relationship Id="rId3" Type="http://schemas.openxmlformats.org/officeDocument/2006/relationships/hyperlink" Target="https://www.viessmann.de/de/wohngebaeude/waermepumpe/eis-energiespeicher.html" TargetMode="External"/><Relationship Id="rId21" Type="http://schemas.openxmlformats.org/officeDocument/2006/relationships/hyperlink" Target="https://www.ifeu.de/publikation/neukonzeption-des-gebaeudeenergiegesetzes-geg-20-zur-erreichung-eines-klimaneutralen-gebaeudebestandes/" TargetMode="External"/><Relationship Id="rId7" Type="http://schemas.openxmlformats.org/officeDocument/2006/relationships/hyperlink" Target="https://oekobaudat.de/OEKOBAU.DAT/datasetdetail/process.xhtml?uuid=04ec8cf9-da57-4201-8d4d-02071e7be09f&amp;version=20.19.120&amp;stock=OBD_2021_II&amp;lang=de" TargetMode="External"/><Relationship Id="rId12" Type="http://schemas.openxmlformats.org/officeDocument/2006/relationships/hyperlink" Target="https://oekobaudat.de/OEKOBAU.DAT/datasetdetail/process.xhtml?uuid=fb11f8ce-d3c7-4823-ba13-0c1f4a304799&amp;version=20.19.120&amp;stock=OBD_2021_II&amp;lang=de" TargetMode="External"/><Relationship Id="rId17" Type="http://schemas.openxmlformats.org/officeDocument/2006/relationships/hyperlink" Target="https://www.bafa.de/SharedDocs/Downloads/DE/Energie/eew_infoblatt_co2_faktoren_2021.pdf?__blob=publicationFile&amp;v=5" TargetMode="External"/><Relationship Id="rId25" Type="http://schemas.openxmlformats.org/officeDocument/2006/relationships/hyperlink" Target="https://content.pv.de/?article_id=2&amp;clang=1&amp;pid=MitVBrlXKvfNWoFcEzTn" TargetMode="External"/><Relationship Id="rId2" Type="http://schemas.openxmlformats.org/officeDocument/2006/relationships/hyperlink" Target="https://www.stromspiegel.de/fileadmin/ssi/stromspiegel/Broschuere/stromspiegel-2021.pdf" TargetMode="External"/><Relationship Id="rId16" Type="http://schemas.openxmlformats.org/officeDocument/2006/relationships/hyperlink" Target="http://iinas.org/gemis-dokumente.html" TargetMode="External"/><Relationship Id="rId20" Type="http://schemas.openxmlformats.org/officeDocument/2006/relationships/hyperlink" Target="https://www.ifeu.de/fileadmin/uploads/pdf/_ifeu_et_al._2021__GEG_2.0.pdf" TargetMode="External"/><Relationship Id="rId1" Type="http://schemas.openxmlformats.org/officeDocument/2006/relationships/hyperlink" Target="https://www.co2online.de/fileadmin/hs/heizspiegel/heizspiegel-2020/heizspiegel-2020.pdf" TargetMode="External"/><Relationship Id="rId6" Type="http://schemas.openxmlformats.org/officeDocument/2006/relationships/hyperlink" Target="https://oekobaudat.de/OEKOBAU.DAT/datasetdetail/process.xhtml?uuid=04ec8cf9-da57-4201-8d4d-02071e7be09f&amp;version=20.19.120&amp;stock=OBD_2021_II&amp;lang=de" TargetMode="External"/><Relationship Id="rId11" Type="http://schemas.openxmlformats.org/officeDocument/2006/relationships/hyperlink" Target="https://oekobaudat.de/OEKOBAU.DAT/datasetdetail/process.xhtml?uuid=63854c13-11d1-4f97-ad97-052ecd3e6e3d&amp;version=20.19.120&amp;stock=OBD_2021_II&amp;lang=de" TargetMode="External"/><Relationship Id="rId24" Type="http://schemas.openxmlformats.org/officeDocument/2006/relationships/hyperlink" Target="http://www.bbsr-energieeinsparung.de/EnEVPortal/DE/Wirtschaftlichkeit/Tabellen/PDF/TechnischeLebensdauer.pdf?__blob=publicationFile&amp;v=1" TargetMode="External"/><Relationship Id="rId5" Type="http://schemas.openxmlformats.org/officeDocument/2006/relationships/hyperlink" Target="https://oekobaudat.de/OEKOBAU.DAT/datasetdetail/process.xhtml?uuid=6167bec3-0bc2-425a-9c87-479fa310f8f2&amp;version=20.19.120&amp;stock=OBD_2021_II&amp;lang=de" TargetMode="External"/><Relationship Id="rId15" Type="http://schemas.openxmlformats.org/officeDocument/2006/relationships/hyperlink" Target="https://www.gesetze-im-internet.de/geg/anlage_9.html" TargetMode="External"/><Relationship Id="rId23" Type="http://schemas.openxmlformats.org/officeDocument/2006/relationships/hyperlink" Target="https://oekobaudat.de/OEKOBAU.DAT/datasetdetail/process.xhtml?uuid=04ec8cf9-da57-4201-8d4d-02071e7be09f&amp;version=20.19.120&amp;stock=OBD_2021_II&amp;lang=de" TargetMode="External"/><Relationship Id="rId28" Type="http://schemas.openxmlformats.org/officeDocument/2006/relationships/drawing" Target="../drawings/drawing1.xml"/><Relationship Id="rId10" Type="http://schemas.openxmlformats.org/officeDocument/2006/relationships/hyperlink" Target="https://oekobaudat.de/OEKOBAU.DAT/datasetdetail/process.xhtml?uuid=6167bec3-0bc2-425a-9c87-479fa310f8f2&amp;version=20.19.120&amp;stock=OBD_2021_II&amp;lang=de" TargetMode="External"/><Relationship Id="rId19" Type="http://schemas.openxmlformats.org/officeDocument/2006/relationships/hyperlink" Target="https://land.copernicus.eu/pan-european/high-resolution-layers/forests/tree-cover-density/status-maps/tree-cover-density-2018" TargetMode="External"/><Relationship Id="rId4" Type="http://schemas.openxmlformats.org/officeDocument/2006/relationships/hyperlink" Target="https://h2.live/fahren/" TargetMode="External"/><Relationship Id="rId9" Type="http://schemas.openxmlformats.org/officeDocument/2006/relationships/hyperlink" Target="https://oekobaudat.de/OEKOBAU.DAT/datasetdetail/process.xhtml?uuid=fb11f8ce-d3c7-4823-ba13-0c1f4a304799&amp;version=20.19.120&amp;stock=OBD_2021_II&amp;lang=de" TargetMode="External"/><Relationship Id="rId14" Type="http://schemas.openxmlformats.org/officeDocument/2006/relationships/hyperlink" Target="https://www.gesetze-im-internet.de/ebev_2022/anlage_1.html" TargetMode="External"/><Relationship Id="rId22" Type="http://schemas.openxmlformats.org/officeDocument/2006/relationships/hyperlink" Target="https://oekobaudat.de/OEKOBAU.DAT/datasetdetail/process.xhtml?uuid=04ec8cf9-da57-4201-8d4d-02071e7be09f&amp;version=20.19.120&amp;stock=OBD_2021_II&amp;lang=de" TargetMode="External"/><Relationship Id="rId27"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A399-8060-42A0-B826-1C287B41459F}">
  <sheetPr>
    <tabColor rgb="FFFF3300"/>
    <pageSetUpPr fitToPage="1"/>
  </sheetPr>
  <dimension ref="A1:BX206"/>
  <sheetViews>
    <sheetView showGridLines="0" tabSelected="1" topLeftCell="AI112" zoomScale="145" zoomScaleNormal="145" workbookViewId="0">
      <selection activeCell="AQ117" sqref="AQ117"/>
    </sheetView>
  </sheetViews>
  <sheetFormatPr baseColWidth="10" defaultColWidth="10.9453125" defaultRowHeight="12.3"/>
  <cols>
    <col min="1" max="1" width="2.05078125" style="1" customWidth="1"/>
    <col min="2" max="2" width="3.7890625" style="3" customWidth="1"/>
    <col min="3" max="3" width="16.5234375" style="3" customWidth="1"/>
    <col min="4" max="4" width="5.41796875" style="3" customWidth="1"/>
    <col min="5" max="6" width="33.41796875" style="3" customWidth="1"/>
    <col min="7" max="7" width="6.3671875" style="3" customWidth="1"/>
    <col min="8" max="8" width="2.15625" style="3" customWidth="1"/>
    <col min="9" max="9" width="6.3671875" style="3" customWidth="1"/>
    <col min="10" max="10" width="9.20703125" style="3" customWidth="1"/>
    <col min="11" max="11" width="10" style="3" customWidth="1"/>
    <col min="12" max="13" width="10.15625" style="3" customWidth="1"/>
    <col min="14" max="14" width="2.68359375" style="1" customWidth="1"/>
    <col min="15" max="15" width="24.3671875" style="3" bestFit="1" customWidth="1"/>
    <col min="16" max="16" width="8.68359375" style="3" customWidth="1"/>
    <col min="17" max="17" width="5.68359375" style="64" customWidth="1"/>
    <col min="18" max="18" width="10.41796875" style="64" customWidth="1"/>
    <col min="19" max="19" width="5.41796875" style="3" customWidth="1"/>
    <col min="20" max="20" width="19.62890625" style="3" customWidth="1"/>
    <col min="21" max="21" width="4.7890625" style="3" customWidth="1"/>
    <col min="22" max="22" width="10" style="3" customWidth="1"/>
    <col min="23" max="23" width="17.9453125" style="3" customWidth="1"/>
    <col min="24" max="24" width="25.41796875" style="3" customWidth="1"/>
    <col min="25" max="27" width="17.9453125" style="3" customWidth="1"/>
    <col min="28" max="28" width="19" style="3" customWidth="1"/>
    <col min="29" max="29" width="9.734375" style="3" customWidth="1"/>
    <col min="30" max="30" width="14.89453125" style="3" customWidth="1"/>
    <col min="31" max="31" width="11.7890625" style="3" customWidth="1"/>
    <col min="32" max="32" width="14.89453125" style="3" customWidth="1"/>
    <col min="33" max="33" width="8.1015625" style="3" customWidth="1"/>
    <col min="34" max="34" width="2.05078125" style="3" customWidth="1"/>
    <col min="35" max="35" width="3.7890625" style="3" customWidth="1"/>
    <col min="36" max="36" width="6.734375" style="3" customWidth="1"/>
    <col min="37" max="37" width="13.3125" style="3" customWidth="1"/>
    <col min="38" max="38" width="13.9453125" style="3" customWidth="1"/>
    <col min="39" max="39" width="1.5234375" style="1" customWidth="1"/>
    <col min="40" max="40" width="6.62890625" style="3" customWidth="1"/>
    <col min="41" max="41" width="2.41796875" style="3" customWidth="1"/>
    <col min="42" max="42" width="7.3125" style="3" customWidth="1"/>
    <col min="43" max="43" width="21.1015625" style="84" customWidth="1"/>
    <col min="44" max="44" width="7" style="64" customWidth="1"/>
    <col min="45" max="45" width="7" style="3" customWidth="1"/>
    <col min="46" max="46" width="12.15625" style="3" customWidth="1"/>
    <col min="47" max="47" width="13.1015625" style="3" bestFit="1" customWidth="1"/>
    <col min="48" max="50" width="10.9453125" style="3"/>
    <col min="51" max="54" width="13.5234375" style="3" customWidth="1"/>
    <col min="55" max="16384" width="10.9453125" style="3"/>
  </cols>
  <sheetData>
    <row r="1" spans="2:63" s="1" customFormat="1" ht="18.3">
      <c r="C1" s="2" t="s">
        <v>0</v>
      </c>
    </row>
    <row r="2" spans="2:63" s="1" customFormat="1">
      <c r="C2" s="1" t="s">
        <v>1</v>
      </c>
      <c r="F2" s="3"/>
      <c r="I2" s="3"/>
      <c r="J2" s="3"/>
      <c r="K2" s="3"/>
      <c r="L2" s="1" t="s">
        <v>2</v>
      </c>
      <c r="M2" s="3"/>
    </row>
    <row r="3" spans="2:63" s="1" customFormat="1">
      <c r="B3" s="1" t="s">
        <v>3</v>
      </c>
      <c r="C3" s="1" t="s">
        <v>4</v>
      </c>
      <c r="I3" s="3"/>
      <c r="J3" s="3"/>
      <c r="K3" s="3"/>
      <c r="L3" s="3" t="s">
        <v>5</v>
      </c>
      <c r="M3" s="3"/>
      <c r="V3" s="1" t="s">
        <v>6</v>
      </c>
      <c r="AL3" s="1" t="s">
        <v>7</v>
      </c>
      <c r="AQ3" s="4"/>
      <c r="AS3" s="5"/>
      <c r="AT3" s="5"/>
      <c r="AU3" s="5"/>
      <c r="AV3" s="5"/>
      <c r="AW3" s="5"/>
      <c r="AX3" s="5"/>
      <c r="AY3" s="5"/>
      <c r="AZ3" s="4"/>
      <c r="BA3" s="4"/>
    </row>
    <row r="4" spans="2:63" s="1" customFormat="1">
      <c r="C4" s="1" t="s">
        <v>8</v>
      </c>
      <c r="H4" s="3"/>
      <c r="I4" s="3"/>
      <c r="J4" s="3"/>
      <c r="K4" s="3"/>
      <c r="L4" s="3"/>
      <c r="M4" s="3"/>
      <c r="AL4" s="4"/>
      <c r="AM4" s="4"/>
      <c r="AN4" s="4"/>
      <c r="AO4" s="4"/>
      <c r="AP4" s="4"/>
      <c r="AQ4" s="4"/>
      <c r="AS4" s="4"/>
      <c r="AT4" s="4"/>
      <c r="AU4" s="6"/>
      <c r="AV4" s="6"/>
      <c r="AW4" s="6"/>
      <c r="AX4" s="6"/>
      <c r="AY4" s="6"/>
      <c r="AZ4" s="6"/>
      <c r="BA4" s="6"/>
    </row>
    <row r="5" spans="2:63" s="1" customFormat="1" ht="12.4" customHeight="1">
      <c r="C5" s="7" t="s">
        <v>9</v>
      </c>
      <c r="D5" s="8"/>
      <c r="E5" s="9"/>
      <c r="F5" s="10" t="s">
        <v>10</v>
      </c>
      <c r="H5" s="3"/>
      <c r="I5" s="3"/>
      <c r="J5" s="3"/>
      <c r="K5" s="3"/>
      <c r="L5" s="3"/>
      <c r="M5" s="3"/>
      <c r="AK5" s="6"/>
      <c r="AL5" s="6"/>
      <c r="AM5" s="6"/>
      <c r="AN5" s="6"/>
      <c r="AO5" s="6"/>
      <c r="AP5" s="6"/>
      <c r="AQ5" s="6"/>
      <c r="AS5" s="6"/>
      <c r="AT5" s="6"/>
      <c r="AU5" s="6"/>
      <c r="AV5" s="6"/>
      <c r="AW5" s="6"/>
      <c r="AX5" s="6"/>
      <c r="AY5" s="6"/>
      <c r="AZ5" s="6"/>
      <c r="BA5" s="6"/>
    </row>
    <row r="6" spans="2:63" s="1" customFormat="1">
      <c r="C6" s="11"/>
      <c r="D6" s="12"/>
      <c r="E6" s="13"/>
      <c r="F6" s="10"/>
      <c r="H6" s="3"/>
      <c r="I6" s="3"/>
      <c r="J6" s="3"/>
      <c r="K6" s="3"/>
      <c r="L6" s="3"/>
      <c r="M6" s="3"/>
      <c r="AK6" s="6"/>
      <c r="AL6" s="5"/>
      <c r="AM6" s="5"/>
      <c r="AN6" s="5"/>
      <c r="AO6" s="5"/>
      <c r="AP6" s="5"/>
      <c r="AQ6" s="5"/>
      <c r="AS6" s="5"/>
      <c r="AT6" s="5"/>
      <c r="AU6" s="5"/>
      <c r="AV6" s="6"/>
      <c r="AW6" s="6"/>
      <c r="AX6" s="6"/>
      <c r="AY6" s="6"/>
      <c r="AZ6" s="6"/>
      <c r="BA6" s="6"/>
      <c r="BB6" s="6"/>
      <c r="BC6" s="6"/>
      <c r="BD6" s="6"/>
      <c r="BE6" s="6"/>
      <c r="BF6" s="6"/>
      <c r="BG6" s="6"/>
      <c r="BH6" s="6"/>
      <c r="BI6" s="6"/>
      <c r="BJ6" s="6"/>
      <c r="BK6" s="6"/>
    </row>
    <row r="7" spans="2:63" s="1" customFormat="1" ht="14.5" customHeight="1">
      <c r="C7" s="14"/>
      <c r="D7" s="15"/>
      <c r="E7" s="16"/>
      <c r="F7" s="10"/>
      <c r="H7" s="3"/>
      <c r="I7" s="3"/>
      <c r="J7" s="3"/>
      <c r="K7" s="3"/>
      <c r="L7" s="3"/>
      <c r="M7" s="3"/>
      <c r="AK7" s="6"/>
      <c r="AL7" s="5" t="str">
        <f>IF(E12=AT10,CONCATENATE(E12," ",E8*BB168,"kg / ",(E8*BB168)/1000," t CO2 eq"),CONCATENATE(E8*BB169,"kg /",(E8*BB169)/1000,"t CO2 eq"))</f>
        <v>Gas 7280kg / 7,28 t CO2 eq</v>
      </c>
      <c r="AM7" s="5" t="s">
        <v>11</v>
      </c>
      <c r="AN7" s="5"/>
      <c r="AO7" s="5"/>
      <c r="AP7" s="5"/>
      <c r="AQ7" s="5"/>
      <c r="AS7" s="5"/>
      <c r="AT7" s="5"/>
      <c r="AU7" s="5"/>
      <c r="AV7" s="4"/>
      <c r="AW7" s="4"/>
      <c r="AX7" s="4"/>
      <c r="AY7" s="6"/>
      <c r="AZ7" s="6"/>
      <c r="BA7" s="6"/>
      <c r="BB7" s="6"/>
      <c r="BC7" s="6"/>
      <c r="BD7" s="6"/>
      <c r="BE7" s="6"/>
      <c r="BF7" s="6"/>
      <c r="BG7" s="6"/>
      <c r="BH7" s="6"/>
      <c r="BI7" s="6"/>
      <c r="BJ7" s="6"/>
      <c r="BK7" s="6"/>
    </row>
    <row r="8" spans="2:63" s="1" customFormat="1" ht="26.1" customHeight="1">
      <c r="C8" s="17" t="str">
        <f>_xlfn.XLOOKUP(C5,AL8:AL10,AM8:AM10)</f>
        <v xml:space="preserve">(c) Verbrauch </v>
      </c>
      <c r="D8" s="18"/>
      <c r="E8" s="19">
        <v>40000</v>
      </c>
      <c r="F8" s="20" t="str">
        <f>CONCATENATE(_xlfn.XLOOKUP(C5,AL8:AL10,AO8:AO10))</f>
        <v>kWh -&gt; Nur wenn Wärme &amp; Warmwasser zusammen (über ein Medium) bereitet werden! Sonst nach Energieazsweis!!!</v>
      </c>
      <c r="G8" s="21"/>
      <c r="H8" s="21"/>
      <c r="I8" s="21"/>
      <c r="J8" s="21"/>
      <c r="AK8" s="6"/>
      <c r="AL8" s="22" t="s">
        <v>12</v>
      </c>
      <c r="AM8" s="5" t="s">
        <v>13</v>
      </c>
      <c r="AN8" s="5">
        <v>100</v>
      </c>
      <c r="AO8" s="5" t="s">
        <v>14</v>
      </c>
      <c r="AP8" s="5" t="s">
        <v>15</v>
      </c>
      <c r="AQ8" s="5">
        <v>346</v>
      </c>
      <c r="AS8" s="5" t="s">
        <v>16</v>
      </c>
      <c r="AT8" s="5" t="s">
        <v>17</v>
      </c>
      <c r="AU8" s="5" t="s">
        <v>17</v>
      </c>
      <c r="AV8" s="4" t="s">
        <v>17</v>
      </c>
      <c r="AW8" s="4"/>
      <c r="AX8" s="4" t="s">
        <v>18</v>
      </c>
      <c r="AY8" s="6" t="s">
        <v>19</v>
      </c>
      <c r="AZ8" s="6"/>
      <c r="BA8" s="6"/>
      <c r="BB8" s="6"/>
      <c r="BC8" s="6"/>
      <c r="BD8" s="6"/>
      <c r="BE8" s="6"/>
      <c r="BF8" s="6"/>
      <c r="BG8" s="6"/>
      <c r="BH8" s="6"/>
      <c r="BI8" s="6"/>
      <c r="BJ8" s="6"/>
      <c r="BK8" s="6"/>
    </row>
    <row r="9" spans="2:63" s="1" customFormat="1" ht="26.1" customHeight="1">
      <c r="C9" s="17" t="str">
        <f>_xlfn.XLOOKUP(C5,AL8:AL10,AP8:AP10)</f>
        <v>ÖL</v>
      </c>
      <c r="D9" s="18"/>
      <c r="E9" s="23">
        <f>_xlfn.XLOOKUP(C5,AL8:AL10,AQ8:AQ10)</f>
        <v>34000</v>
      </c>
      <c r="F9" s="4" t="str">
        <f>_xlfn.XLOOKUP(C5,AL8:AL10,AS8:AS10)</f>
        <v>kWh</v>
      </c>
      <c r="G9" s="4"/>
      <c r="H9" s="4"/>
      <c r="I9" s="4"/>
      <c r="J9" s="24"/>
      <c r="AK9" s="6"/>
      <c r="AL9" s="22" t="s">
        <v>20</v>
      </c>
      <c r="AM9" s="5" t="s">
        <v>17</v>
      </c>
      <c r="AN9" s="5"/>
      <c r="AO9" s="5" t="s">
        <v>21</v>
      </c>
      <c r="AP9" s="5" t="s">
        <v>17</v>
      </c>
      <c r="AQ9" s="5" t="s">
        <v>17</v>
      </c>
      <c r="AS9" s="5" t="s">
        <v>17</v>
      </c>
      <c r="AT9" s="5" t="s">
        <v>17</v>
      </c>
      <c r="AU9" s="5" t="s">
        <v>17</v>
      </c>
      <c r="AV9" s="4" t="s">
        <v>17</v>
      </c>
      <c r="AW9" s="4"/>
      <c r="AX9" s="4" t="s">
        <v>22</v>
      </c>
      <c r="AY9" s="6" t="s">
        <v>23</v>
      </c>
      <c r="AZ9" s="6"/>
      <c r="BA9" s="6"/>
      <c r="BB9" s="6"/>
      <c r="BC9" s="6"/>
      <c r="BD9" s="6"/>
      <c r="BE9" s="6"/>
      <c r="BF9" s="6"/>
      <c r="BG9" s="6"/>
      <c r="BH9" s="6"/>
      <c r="BI9" s="6"/>
      <c r="BJ9" s="6"/>
      <c r="BK9" s="6"/>
    </row>
    <row r="10" spans="2:63" s="1" customFormat="1" ht="14.4">
      <c r="C10" s="25" t="str">
        <f>_xlfn.XLOOKUP(C5,AL8:AL10,AT8:AT10)</f>
        <v>Gas</v>
      </c>
      <c r="D10" s="26"/>
      <c r="E10" s="27">
        <f>_xlfn.XLOOKUP(C5,AL8:AL10,AU8:AU10)</f>
        <v>36000</v>
      </c>
      <c r="F10" s="28" t="str">
        <f>_xlfn.XLOOKUP(C5,AL8:AL10,AV8:AV10)</f>
        <v>kWh</v>
      </c>
      <c r="G10" s="4"/>
      <c r="H10" s="4"/>
      <c r="I10" s="4"/>
      <c r="J10" s="24"/>
      <c r="AK10" s="6"/>
      <c r="AL10" s="22" t="s">
        <v>9</v>
      </c>
      <c r="AM10" s="5" t="s">
        <v>24</v>
      </c>
      <c r="AN10" s="5">
        <f>E8</f>
        <v>40000</v>
      </c>
      <c r="AO10" s="5" t="s">
        <v>25</v>
      </c>
      <c r="AP10" s="5" t="s">
        <v>18</v>
      </c>
      <c r="AQ10" s="5">
        <f>AN10*0.85</f>
        <v>34000</v>
      </c>
      <c r="AS10" s="5" t="s">
        <v>21</v>
      </c>
      <c r="AT10" s="5" t="s">
        <v>22</v>
      </c>
      <c r="AU10" s="5">
        <f>AN10*0.9</f>
        <v>36000</v>
      </c>
      <c r="AV10" s="4" t="s">
        <v>21</v>
      </c>
      <c r="AW10" s="4"/>
      <c r="AX10" s="4"/>
      <c r="AY10" s="6"/>
      <c r="AZ10" s="6"/>
      <c r="BA10" s="6"/>
      <c r="BB10" s="6"/>
      <c r="BC10" s="6"/>
      <c r="BD10" s="6"/>
      <c r="BE10" s="6"/>
      <c r="BF10" s="6"/>
      <c r="BG10" s="6"/>
      <c r="BH10" s="6"/>
      <c r="BI10" s="6"/>
      <c r="BJ10" s="6"/>
      <c r="BK10" s="6"/>
    </row>
    <row r="11" spans="2:63" s="1" customFormat="1">
      <c r="C11" s="29" t="str">
        <f>IF(AL8=C5,CONCATENATE(E8*E8," kWh"),IF(C5=AL10,CONCATENATE("ca. ",C9," ",ROUND(E8,0)," ",F9," oder ",C10," ",ROUND(E8,0)," ",F10," bei ",IF(E12=AT10,CONCATENATE(E12," sind es ",E8*BB168,"kg / ",(E8*BB168)/1000," t CO2 eq"),CONCATENATE(E8*BB169,"kg /",(E8*BB169)/1000,"t CO2 eq")))))</f>
        <v>ca. ÖL 40000 kWh oder Gas 40000 kWh bei Gas sind es 7280kg / 7,28 t CO2 eq</v>
      </c>
      <c r="D11" s="30"/>
      <c r="E11" s="31"/>
      <c r="F11" s="4"/>
      <c r="G11" s="4"/>
      <c r="H11" s="4"/>
      <c r="I11" s="4"/>
      <c r="J11" s="24"/>
      <c r="AK11" s="6"/>
      <c r="AL11" s="5" t="s">
        <v>26</v>
      </c>
      <c r="AM11" s="5"/>
      <c r="AN11" s="5"/>
      <c r="AO11" s="5"/>
      <c r="AP11" s="5">
        <v>1</v>
      </c>
      <c r="AQ11" s="5"/>
      <c r="AS11" s="5"/>
      <c r="AT11" s="5"/>
      <c r="AU11" s="5" t="s">
        <v>27</v>
      </c>
      <c r="AV11" s="4"/>
      <c r="AW11" s="4"/>
      <c r="AX11" s="4"/>
      <c r="AY11" s="6"/>
      <c r="AZ11" s="6"/>
      <c r="BA11" s="6"/>
      <c r="BB11" s="6"/>
      <c r="BC11" s="6"/>
      <c r="BD11" s="6"/>
      <c r="BE11" s="6"/>
      <c r="BF11" s="6"/>
      <c r="BG11" s="6"/>
      <c r="BH11" s="6"/>
      <c r="BI11" s="6"/>
      <c r="BJ11" s="6"/>
      <c r="BK11" s="6"/>
    </row>
    <row r="12" spans="2:63" s="1" customFormat="1" ht="12.4" customHeight="1">
      <c r="C12" s="23" t="str">
        <f>IF(C5=AL10,"Energieträger auswählen","")</f>
        <v>Energieträger auswählen</v>
      </c>
      <c r="D12" s="23"/>
      <c r="E12" s="23" t="s">
        <v>22</v>
      </c>
      <c r="F12" s="4" t="str">
        <f>IF(OR(E12=AX8,E12=AX9),"","Bitte Auswahl treffen")</f>
        <v/>
      </c>
      <c r="G12" s="32">
        <f>IF(H12=".",E9*E8,H12)</f>
        <v>18900</v>
      </c>
      <c r="H12" s="33">
        <v>18900</v>
      </c>
      <c r="I12" s="32"/>
      <c r="J12" s="32"/>
      <c r="AK12" s="6"/>
      <c r="AL12" s="5"/>
      <c r="AM12" s="5"/>
      <c r="AN12" s="5"/>
      <c r="AO12" s="5"/>
      <c r="AP12" s="5"/>
      <c r="AQ12" s="5"/>
      <c r="AS12" s="5"/>
      <c r="AT12" s="5"/>
      <c r="AU12" s="5"/>
      <c r="AV12" s="6"/>
      <c r="AW12" s="6"/>
      <c r="AX12" s="6"/>
      <c r="AY12" s="6"/>
      <c r="AZ12" s="6"/>
      <c r="BA12" s="6"/>
      <c r="BB12" s="6"/>
      <c r="BC12" s="6"/>
      <c r="BD12" s="6"/>
      <c r="BE12" s="6"/>
      <c r="BF12" s="6"/>
      <c r="BG12" s="6"/>
      <c r="BH12" s="6"/>
      <c r="BI12" s="6"/>
      <c r="BJ12" s="6"/>
      <c r="BK12" s="6"/>
    </row>
    <row r="13" spans="2:63" s="1" customFormat="1" ht="14.4">
      <c r="C13" s="3"/>
      <c r="D13" s="3"/>
      <c r="F13" s="3"/>
      <c r="G13" s="4"/>
      <c r="H13" s="4"/>
      <c r="I13" s="4"/>
      <c r="J13" s="24"/>
      <c r="AK13" s="6">
        <v>1</v>
      </c>
      <c r="AL13" s="5" t="s">
        <v>28</v>
      </c>
      <c r="AM13" s="5">
        <v>28302</v>
      </c>
      <c r="AN13" s="5" t="s">
        <v>21</v>
      </c>
      <c r="AO13" s="34">
        <f>AM13</f>
        <v>28302</v>
      </c>
      <c r="AP13" s="5">
        <v>1</v>
      </c>
      <c r="AQ13" s="5"/>
      <c r="AS13" s="5"/>
      <c r="AT13" s="5"/>
      <c r="AU13" s="5"/>
      <c r="AV13" s="6"/>
      <c r="AW13" s="6"/>
      <c r="AX13" s="6"/>
      <c r="AY13" s="6"/>
      <c r="AZ13" s="6"/>
      <c r="BA13" s="6"/>
      <c r="BB13" s="6"/>
      <c r="BC13" s="6"/>
      <c r="BD13" s="6"/>
      <c r="BE13" s="6"/>
      <c r="BF13" s="6"/>
      <c r="BG13" s="6"/>
      <c r="BH13" s="6"/>
      <c r="BI13" s="6"/>
      <c r="BJ13" s="6"/>
      <c r="BK13" s="6"/>
    </row>
    <row r="14" spans="2:63" s="1" customFormat="1" ht="14.4">
      <c r="B14" s="1" t="s">
        <v>29</v>
      </c>
      <c r="C14" s="1" t="s">
        <v>30</v>
      </c>
      <c r="J14" s="3"/>
      <c r="AK14" s="6"/>
      <c r="AL14" s="5"/>
      <c r="AM14" s="5"/>
      <c r="AN14" s="5"/>
      <c r="AO14" s="34">
        <f>IF(AK14&gt;=1,AQ8*AN8,AM13)</f>
        <v>28302</v>
      </c>
      <c r="AP14" s="5"/>
      <c r="AQ14" s="34">
        <v>1</v>
      </c>
      <c r="AS14" s="34">
        <f xml:space="preserve"> _xlfn.XLOOKUP(AQ14,AP12:AP13,AS12:AS13)</f>
        <v>0</v>
      </c>
      <c r="AT14" s="5"/>
      <c r="AU14" s="5"/>
      <c r="AV14" s="6"/>
      <c r="AW14" s="6"/>
      <c r="AX14" s="6"/>
      <c r="AY14" s="6"/>
      <c r="AZ14" s="6"/>
      <c r="BA14" s="6"/>
      <c r="BB14" s="6"/>
      <c r="BC14" s="6"/>
      <c r="BD14" s="6"/>
      <c r="BE14" s="6"/>
      <c r="BF14" s="6"/>
      <c r="BG14" s="6"/>
      <c r="BH14" s="6"/>
      <c r="BI14" s="6"/>
      <c r="BJ14" s="6"/>
      <c r="BK14" s="6"/>
    </row>
    <row r="15" spans="2:63" s="1" customFormat="1" ht="14.4">
      <c r="C15" s="1" t="s">
        <v>31</v>
      </c>
      <c r="J15" s="3"/>
      <c r="AK15" s="6"/>
      <c r="AL15" s="34">
        <v>1</v>
      </c>
      <c r="AM15" s="34">
        <f xml:space="preserve"> _xlfn.XLOOKUP(AL15,AK13:AK14,AO13:AO14)</f>
        <v>28302</v>
      </c>
      <c r="AN15" s="34" t="s">
        <v>21</v>
      </c>
      <c r="AO15" s="5"/>
      <c r="AP15" s="34"/>
      <c r="AQ15" s="34"/>
      <c r="AS15" s="5"/>
      <c r="AT15" s="5"/>
      <c r="AU15" s="5">
        <f>IF(AK11&gt;=1,AM15,AS14)</f>
        <v>0</v>
      </c>
      <c r="AV15" s="35" t="s">
        <v>21</v>
      </c>
      <c r="AW15" s="35"/>
      <c r="AX15" s="6"/>
      <c r="AY15" s="6"/>
      <c r="AZ15" s="6"/>
      <c r="BA15" s="6"/>
      <c r="BB15" s="6"/>
      <c r="BC15" s="6"/>
      <c r="BD15" s="6"/>
      <c r="BE15" s="6"/>
      <c r="BF15" s="6"/>
      <c r="BG15" s="6"/>
      <c r="BH15" s="6"/>
      <c r="BI15" s="6"/>
      <c r="BJ15" s="6"/>
      <c r="BK15" s="6"/>
    </row>
    <row r="16" spans="2:63" s="1" customFormat="1" ht="26.1" customHeight="1">
      <c r="C16" s="36" t="s">
        <v>32</v>
      </c>
      <c r="D16" s="36"/>
      <c r="E16" s="19">
        <v>120</v>
      </c>
      <c r="F16" s="1" t="str">
        <f>_xlfn.XLOOKUP(C16,AL17:AL19,AN17:AN19)</f>
        <v>m²</v>
      </c>
      <c r="J16" s="3"/>
      <c r="AF16" s="4"/>
      <c r="AG16" s="4"/>
      <c r="AH16" s="4"/>
      <c r="AI16" s="4"/>
      <c r="AJ16" s="4"/>
      <c r="AK16" s="4"/>
      <c r="AL16" s="5"/>
      <c r="AM16" s="5">
        <f>AM15/AN8</f>
        <v>283.02</v>
      </c>
      <c r="AN16" s="5"/>
      <c r="AO16" s="5"/>
      <c r="AP16" s="5"/>
      <c r="AQ16" s="5"/>
      <c r="AS16" s="5"/>
      <c r="AT16" s="5"/>
      <c r="AU16" s="5"/>
      <c r="AV16" s="6"/>
      <c r="AW16" s="6"/>
      <c r="AX16" s="6"/>
      <c r="AY16" s="6"/>
      <c r="AZ16" s="6"/>
      <c r="BA16" s="6"/>
      <c r="BB16" s="6"/>
      <c r="BC16" s="6"/>
      <c r="BD16" s="6"/>
      <c r="BE16" s="6"/>
      <c r="BF16" s="6"/>
      <c r="BG16" s="6"/>
      <c r="BH16" s="6"/>
      <c r="BI16" s="6"/>
      <c r="BJ16" s="6"/>
      <c r="BK16" s="6"/>
    </row>
    <row r="17" spans="2:63" s="1" customFormat="1" ht="14.4">
      <c r="C17" s="23" t="str">
        <f>_xlfn.XLOOKUP(C16,AL17:AL19,AO17:AO19)</f>
        <v>.</v>
      </c>
      <c r="D17" s="23"/>
      <c r="E17" s="23"/>
      <c r="F17" s="1" t="str">
        <f>_xlfn.XLOOKUP(C16,AL17:AL19,AS17:AS19)</f>
        <v>.</v>
      </c>
      <c r="J17" s="3"/>
      <c r="AF17" s="4"/>
      <c r="AG17" s="4"/>
      <c r="AH17" s="4"/>
      <c r="AI17" s="4"/>
      <c r="AJ17" s="4"/>
      <c r="AK17" s="4"/>
      <c r="AL17" s="22" t="s">
        <v>33</v>
      </c>
      <c r="AM17" s="5"/>
      <c r="AN17" s="5" t="s">
        <v>17</v>
      </c>
      <c r="AO17" s="5" t="s">
        <v>17</v>
      </c>
      <c r="AP17" s="5"/>
      <c r="AQ17" s="5"/>
      <c r="AS17" s="5" t="s">
        <v>17</v>
      </c>
      <c r="AT17" s="5"/>
      <c r="AU17" s="5"/>
      <c r="AV17" s="6"/>
      <c r="AW17" s="6"/>
      <c r="AX17" s="6"/>
      <c r="AY17" s="6"/>
      <c r="AZ17" s="6"/>
      <c r="BA17" s="6"/>
      <c r="BB17" s="6"/>
      <c r="BC17" s="6"/>
      <c r="BD17" s="6"/>
      <c r="BE17" s="6"/>
      <c r="BF17" s="6"/>
      <c r="BG17" s="6"/>
      <c r="BH17" s="6"/>
      <c r="BI17" s="6"/>
      <c r="BJ17" s="6"/>
      <c r="BK17" s="6"/>
    </row>
    <row r="18" spans="2:63" s="1" customFormat="1" ht="46" customHeight="1">
      <c r="C18" s="37" t="str">
        <f>IF(C16=AL19,"Handelt es sich um ein bis zwei Wohneinheiten mit beheizten Keller?","")</f>
        <v>Handelt es sich um ein bis zwei Wohneinheiten mit beheizten Keller?</v>
      </c>
      <c r="D18" s="37"/>
      <c r="E18" s="38" t="s">
        <v>19</v>
      </c>
      <c r="F18" s="39" t="str">
        <f>IF(AND(C16=AL17,C5=AL10),"BITTE 'Nutzfläche AN nach ENEV /GEG (Verbrauch/Bedarf) ' in eine andere Auswahl ändern!",IF(C17=AO18,"Bitte Geschosshöhe eingeben",IF(E18=AY8,"","Bitte Auswahl treffen")))</f>
        <v/>
      </c>
      <c r="G18" s="40">
        <f>IF(E18=AY8,E16*1.35,"")</f>
        <v>162</v>
      </c>
      <c r="H18" s="40"/>
      <c r="I18" s="40"/>
      <c r="J18" s="40"/>
      <c r="AF18" s="4"/>
      <c r="AG18" s="4"/>
      <c r="AH18" s="4"/>
      <c r="AI18" s="4"/>
      <c r="AJ18" s="4"/>
      <c r="AK18" s="4"/>
      <c r="AL18" s="22" t="s">
        <v>34</v>
      </c>
      <c r="AM18" s="5">
        <v>240</v>
      </c>
      <c r="AN18" s="5" t="s">
        <v>35</v>
      </c>
      <c r="AO18" s="5" t="s">
        <v>36</v>
      </c>
      <c r="AP18" s="5"/>
      <c r="AQ18" s="5">
        <v>2.4</v>
      </c>
      <c r="AS18" s="5" t="s">
        <v>37</v>
      </c>
      <c r="AT18" s="5"/>
      <c r="AU18" s="5"/>
      <c r="AV18" s="6"/>
      <c r="AW18" s="6"/>
      <c r="AX18" s="6"/>
      <c r="AY18" s="6"/>
      <c r="AZ18" s="6"/>
      <c r="BA18" s="6"/>
      <c r="BB18" s="4"/>
      <c r="BC18" s="4"/>
      <c r="BD18" s="6"/>
      <c r="BE18" s="6"/>
      <c r="BF18" s="6"/>
      <c r="BG18" s="6"/>
      <c r="BH18" s="6"/>
      <c r="BI18" s="6"/>
      <c r="BJ18" s="6"/>
      <c r="BK18" s="6"/>
    </row>
    <row r="19" spans="2:63" s="1" customFormat="1" ht="14.4">
      <c r="C19" s="41"/>
      <c r="D19" s="41"/>
      <c r="E19" s="42" t="str">
        <f>IF(C16=AL17,E8,"")</f>
        <v/>
      </c>
      <c r="F19" s="35">
        <f>IF(E18&gt;0,MAX(G18:G19),"")</f>
        <v>162</v>
      </c>
      <c r="G19" s="35" t="str">
        <f>IF(E18=AY9,E16*1.2,"")</f>
        <v/>
      </c>
      <c r="H19" s="4"/>
      <c r="I19" s="4"/>
      <c r="J19" s="24"/>
      <c r="K19" s="4"/>
      <c r="L19" s="4"/>
      <c r="M19" s="4"/>
      <c r="N19" s="4"/>
      <c r="O19" s="4"/>
      <c r="AF19" s="4"/>
      <c r="AG19" s="4"/>
      <c r="AH19" s="4"/>
      <c r="AI19" s="4"/>
      <c r="AJ19" s="4"/>
      <c r="AK19" s="4">
        <v>1</v>
      </c>
      <c r="AL19" s="43" t="s">
        <v>32</v>
      </c>
      <c r="AM19" s="6">
        <v>100</v>
      </c>
      <c r="AN19" s="6" t="s">
        <v>38</v>
      </c>
      <c r="AO19" s="6" t="s">
        <v>17</v>
      </c>
      <c r="AP19" s="6"/>
      <c r="AQ19" s="6"/>
      <c r="AS19" s="6" t="s">
        <v>17</v>
      </c>
      <c r="AT19" s="6" t="s">
        <v>39</v>
      </c>
      <c r="AU19" s="6"/>
      <c r="AV19" s="6"/>
      <c r="AW19" s="6"/>
      <c r="AX19" s="6"/>
      <c r="AY19" s="6"/>
      <c r="AZ19" s="6"/>
      <c r="BA19" s="6"/>
      <c r="BB19" s="4"/>
      <c r="BC19" s="4"/>
      <c r="BD19" s="6"/>
      <c r="BE19" s="6"/>
      <c r="BF19" s="6"/>
      <c r="BG19" s="6"/>
      <c r="BH19" s="6"/>
      <c r="BI19" s="6"/>
      <c r="BJ19" s="6"/>
      <c r="BK19" s="6"/>
    </row>
    <row r="20" spans="2:63" s="1" customFormat="1" ht="25.15" customHeight="1">
      <c r="C20" s="41" t="str">
        <f>IF(C16=AL18,CONCATENATE("Ist die Geschosshöhe wirklich im mittel ",E17," m?"),"")</f>
        <v/>
      </c>
      <c r="D20" s="41"/>
      <c r="E20" s="44"/>
      <c r="F20" s="45" t="str">
        <f>IF(AND(E17&gt;2.5,E17&lt;3),0.32*E16,"1")</f>
        <v>1</v>
      </c>
      <c r="G20" s="6"/>
      <c r="H20" s="4"/>
      <c r="I20" s="4"/>
      <c r="J20" s="24"/>
      <c r="K20" s="4"/>
      <c r="L20" s="4"/>
      <c r="M20" s="4"/>
      <c r="N20" s="4"/>
      <c r="O20" s="4"/>
      <c r="AF20" s="4"/>
      <c r="AG20" s="4"/>
      <c r="AH20" s="4"/>
      <c r="AI20" s="4"/>
      <c r="AJ20" s="4"/>
      <c r="AK20" s="4"/>
      <c r="AL20" s="6" t="s">
        <v>40</v>
      </c>
      <c r="AM20" s="6">
        <f>AM19*1.35</f>
        <v>135</v>
      </c>
      <c r="AN20" s="6" t="s">
        <v>38</v>
      </c>
      <c r="AO20" s="6"/>
      <c r="AP20" s="6" t="s">
        <v>41</v>
      </c>
      <c r="AQ20" s="6"/>
      <c r="AS20" s="6"/>
      <c r="AT20" s="6"/>
      <c r="AU20" s="6"/>
      <c r="AV20" s="6"/>
      <c r="AW20" s="6"/>
      <c r="AX20" s="6"/>
      <c r="AY20" s="6" t="s">
        <v>42</v>
      </c>
      <c r="AZ20" s="6"/>
      <c r="BA20" s="6"/>
      <c r="BB20" s="4"/>
      <c r="BC20" s="4"/>
      <c r="BD20" s="6"/>
      <c r="BE20" s="6"/>
      <c r="BF20" s="6"/>
      <c r="BG20" s="6"/>
      <c r="BH20" s="6"/>
      <c r="BI20" s="6"/>
      <c r="BJ20" s="6"/>
      <c r="BK20" s="6"/>
    </row>
    <row r="21" spans="2:63" s="1" customFormat="1" ht="14.4">
      <c r="C21" s="3" t="str">
        <f>IF(E20=AY9,"Bitte Geschosshöhe ändern!","")</f>
        <v/>
      </c>
      <c r="D21" s="3"/>
      <c r="E21" s="45">
        <f>MAX(F20:F22)</f>
        <v>0</v>
      </c>
      <c r="F21" s="45" t="str">
        <f>IF(AND(E17&lt;2.5,E17&gt;0),ROUND(((1/E17)-0.04)*E16,0),"1")</f>
        <v>1</v>
      </c>
      <c r="G21" s="6"/>
      <c r="H21" s="4"/>
      <c r="I21" s="4"/>
      <c r="J21" s="24"/>
      <c r="AF21" s="4"/>
      <c r="AG21" s="4"/>
      <c r="AH21" s="4"/>
      <c r="AI21" s="4"/>
      <c r="AJ21" s="4"/>
      <c r="AK21" s="4">
        <v>1</v>
      </c>
      <c r="AL21" s="6" t="s">
        <v>43</v>
      </c>
      <c r="AM21" s="6">
        <f>AM19*1.2</f>
        <v>120</v>
      </c>
      <c r="AN21" s="6" t="s">
        <v>38</v>
      </c>
      <c r="AO21" s="6"/>
      <c r="AP21" s="6" t="s">
        <v>44</v>
      </c>
      <c r="AQ21" s="6">
        <f>0.32*AM18</f>
        <v>76.8</v>
      </c>
      <c r="AS21" s="6" t="s">
        <v>45</v>
      </c>
      <c r="AT21" s="6"/>
      <c r="AU21" s="6"/>
      <c r="AV21" s="6"/>
      <c r="AW21" s="6"/>
      <c r="AX21" s="6"/>
      <c r="AY21" s="6" t="s">
        <v>46</v>
      </c>
      <c r="AZ21" s="6"/>
      <c r="BA21" s="6"/>
      <c r="BB21" s="4"/>
      <c r="BC21" s="4"/>
      <c r="BD21" s="6"/>
      <c r="BE21" s="6"/>
      <c r="BF21" s="6"/>
      <c r="BG21" s="6"/>
      <c r="BH21" s="6"/>
      <c r="BI21" s="6"/>
      <c r="BJ21" s="6"/>
      <c r="BK21" s="6"/>
    </row>
    <row r="22" spans="2:63" s="1" customFormat="1" ht="14.4">
      <c r="D22" s="35">
        <f>MAX(F20:F22)</f>
        <v>0</v>
      </c>
      <c r="E22" s="45">
        <f>MAX(F19:F22)</f>
        <v>162</v>
      </c>
      <c r="F22" s="45" t="str">
        <f>IF(E17&gt;3,ROUND(((1/E17)-0.04)*E16,0),"1")</f>
        <v>1</v>
      </c>
      <c r="G22" s="6"/>
      <c r="H22" s="4"/>
      <c r="I22" s="4"/>
      <c r="J22" s="24"/>
      <c r="AF22" s="4"/>
      <c r="AG22" s="4"/>
      <c r="AH22" s="4"/>
      <c r="AI22" s="4"/>
      <c r="AJ22" s="4"/>
      <c r="AK22" s="4"/>
      <c r="AL22" s="35">
        <v>1</v>
      </c>
      <c r="AM22" s="35">
        <f xml:space="preserve"> _xlfn.XLOOKUP(AL22,AK20:AK21,AM20:AM21)</f>
        <v>120</v>
      </c>
      <c r="AN22" s="6"/>
      <c r="AO22" s="6">
        <v>1</v>
      </c>
      <c r="AP22" s="6" t="s">
        <v>47</v>
      </c>
      <c r="AQ22" s="6">
        <f>ROUND(((1/AQ18)-0.04)*AM18,0)</f>
        <v>90</v>
      </c>
      <c r="AS22" s="6" t="s">
        <v>45</v>
      </c>
      <c r="AT22" s="6"/>
      <c r="AU22" s="6"/>
      <c r="AV22" s="6"/>
      <c r="AW22" s="6"/>
      <c r="AX22" s="6"/>
      <c r="AY22" s="6">
        <f>8.34*6*2</f>
        <v>100.08</v>
      </c>
      <c r="AZ22" s="6"/>
      <c r="BA22" s="6"/>
      <c r="BB22" s="4"/>
      <c r="BC22" s="4"/>
      <c r="BD22" s="6"/>
      <c r="BE22" s="6"/>
      <c r="BF22" s="6"/>
      <c r="BG22" s="6"/>
      <c r="BH22" s="6"/>
      <c r="BI22" s="6"/>
      <c r="BJ22" s="6"/>
      <c r="BK22" s="6"/>
    </row>
    <row r="23" spans="2:63" s="1" customFormat="1" ht="34" customHeight="1">
      <c r="B23" s="46" t="s">
        <v>48</v>
      </c>
      <c r="C23" s="47" t="s">
        <v>49</v>
      </c>
      <c r="D23" s="47"/>
      <c r="E23" s="47"/>
      <c r="F23" s="48"/>
      <c r="G23" s="48"/>
      <c r="J23" s="3"/>
      <c r="AF23" s="4"/>
      <c r="AG23" s="4"/>
      <c r="AH23" s="4"/>
      <c r="AI23" s="4"/>
      <c r="AJ23" s="4"/>
      <c r="AK23" s="4"/>
      <c r="AL23" s="35"/>
      <c r="AM23" s="35"/>
      <c r="AN23" s="6"/>
      <c r="AO23" s="6"/>
      <c r="AP23" s="35">
        <v>1</v>
      </c>
      <c r="AQ23" s="35">
        <f xml:space="preserve"> _xlfn.XLOOKUP(AP23,AO21:AO22,AQ21:AQ22)</f>
        <v>90</v>
      </c>
      <c r="AS23" s="6"/>
      <c r="AT23" s="6"/>
      <c r="AU23" s="6"/>
      <c r="AV23" s="6"/>
      <c r="AW23" s="6"/>
      <c r="AX23" s="6"/>
      <c r="AY23" s="6" t="s">
        <v>41</v>
      </c>
      <c r="AZ23" s="6"/>
      <c r="BA23" s="6"/>
      <c r="BB23" s="4"/>
      <c r="BC23" s="4"/>
      <c r="BD23" s="6"/>
      <c r="BE23" s="6"/>
      <c r="BF23" s="6"/>
      <c r="BG23" s="6"/>
      <c r="BH23" s="6"/>
      <c r="BI23" s="6"/>
      <c r="BJ23" s="6"/>
      <c r="BK23" s="6"/>
    </row>
    <row r="24" spans="2:63" s="49" customFormat="1" ht="26.5" customHeight="1">
      <c r="C24" s="50" t="str">
        <f>CONCATENATE("Nutzfläche AN nach ",C16)</f>
        <v xml:space="preserve">Nutzfläche AN nach Wohnfläche nach Wohnflächenverordnung </v>
      </c>
      <c r="D24" s="51"/>
      <c r="E24" s="52">
        <f>IF(C16=AL17,E8,IF(C16=AL19,E22,E21))</f>
        <v>162</v>
      </c>
      <c r="F24" s="53" t="s">
        <v>38</v>
      </c>
      <c r="AF24" s="54"/>
      <c r="AG24" s="54"/>
      <c r="AH24" s="54"/>
      <c r="AI24" s="54"/>
      <c r="AJ24" s="54"/>
      <c r="AK24" s="54"/>
      <c r="AL24" s="55"/>
      <c r="AM24" s="55"/>
      <c r="AN24" s="55"/>
      <c r="AO24" s="55"/>
      <c r="AP24" s="55"/>
      <c r="AQ24" s="55"/>
      <c r="AS24" s="55"/>
      <c r="AT24" s="55"/>
      <c r="AU24" s="55"/>
      <c r="AV24" s="55"/>
      <c r="AW24" s="55"/>
      <c r="AX24" s="55"/>
      <c r="AY24" s="55">
        <f>AY22*2.4</f>
        <v>240.19199999999998</v>
      </c>
      <c r="AZ24" s="55"/>
      <c r="BA24" s="55"/>
      <c r="BB24" s="54"/>
      <c r="BC24" s="54"/>
      <c r="BD24" s="55"/>
      <c r="BE24" s="55"/>
      <c r="BF24" s="55"/>
      <c r="BG24" s="55"/>
      <c r="BH24" s="55"/>
      <c r="BI24" s="55"/>
      <c r="BJ24" s="55"/>
      <c r="BK24" s="55"/>
    </row>
    <row r="25" spans="2:63" s="49" customFormat="1" ht="25" customHeight="1">
      <c r="C25" s="56" t="s">
        <v>50</v>
      </c>
      <c r="D25" s="57"/>
      <c r="E25" s="52">
        <f>ROUND(E24*0.03,2)</f>
        <v>4.8600000000000003</v>
      </c>
      <c r="F25" s="53" t="s">
        <v>51</v>
      </c>
      <c r="AF25" s="54"/>
      <c r="AG25" s="54"/>
      <c r="AH25" s="54"/>
      <c r="AI25" s="54"/>
      <c r="AJ25" s="54"/>
      <c r="AK25" s="55"/>
      <c r="AL25" s="55"/>
      <c r="AM25" s="55"/>
      <c r="AN25" s="55"/>
      <c r="AO25" s="55"/>
      <c r="AP25" s="55"/>
      <c r="AQ25" s="55"/>
      <c r="AS25" s="55"/>
      <c r="AT25" s="55"/>
      <c r="AU25" s="55"/>
      <c r="AV25" s="55"/>
      <c r="AW25" s="55"/>
      <c r="AX25" s="55"/>
      <c r="AY25" s="55"/>
      <c r="AZ25" s="55"/>
      <c r="BA25" s="55"/>
      <c r="BB25" s="54"/>
      <c r="BC25" s="54"/>
      <c r="BD25" s="55"/>
      <c r="BE25" s="55"/>
      <c r="BF25" s="55"/>
      <c r="BG25" s="55"/>
      <c r="BH25" s="55"/>
      <c r="BI25" s="55"/>
      <c r="BJ25" s="55"/>
      <c r="BK25" s="55"/>
    </row>
    <row r="26" spans="2:63" s="49" customFormat="1" ht="25" customHeight="1">
      <c r="C26" s="58" t="s">
        <v>52</v>
      </c>
      <c r="D26" s="59"/>
      <c r="E26" s="52">
        <f>ROUND(E24*0.04,2)</f>
        <v>6.48</v>
      </c>
      <c r="F26" s="53" t="s">
        <v>51</v>
      </c>
      <c r="T26" s="60">
        <v>79</v>
      </c>
      <c r="U26" s="61"/>
      <c r="V26" s="61"/>
      <c r="W26" s="61"/>
      <c r="X26" s="61"/>
      <c r="Y26" s="61"/>
      <c r="Z26" s="61"/>
      <c r="AA26" s="61"/>
      <c r="AB26" s="61"/>
      <c r="AC26" s="61"/>
      <c r="AD26" s="61"/>
      <c r="AE26" s="61"/>
      <c r="AF26" s="62"/>
      <c r="AG26" s="62"/>
      <c r="AH26" s="62"/>
      <c r="AI26" s="62"/>
      <c r="AJ26" s="62"/>
      <c r="AK26" s="63"/>
      <c r="AL26" s="55"/>
      <c r="AM26" s="55"/>
      <c r="AN26" s="55"/>
      <c r="AO26" s="55"/>
      <c r="AP26" s="55"/>
      <c r="AQ26" s="55"/>
      <c r="AS26" s="55"/>
      <c r="AT26" s="55"/>
      <c r="AU26" s="55"/>
      <c r="AV26" s="55" t="s">
        <v>53</v>
      </c>
      <c r="AW26" s="55"/>
      <c r="AX26" s="55"/>
      <c r="AY26" s="55"/>
      <c r="AZ26" s="55"/>
      <c r="BA26" s="55" t="s">
        <v>54</v>
      </c>
      <c r="BB26" s="55"/>
      <c r="BC26" s="55"/>
      <c r="BD26" s="55"/>
      <c r="BE26" s="55"/>
      <c r="BF26" s="55"/>
      <c r="BG26" s="55"/>
      <c r="BH26" s="55"/>
      <c r="BI26" s="55"/>
      <c r="BJ26" s="55"/>
      <c r="BK26" s="55"/>
    </row>
    <row r="27" spans="2:63" s="1" customFormat="1">
      <c r="J27" s="3"/>
      <c r="P27" s="3"/>
      <c r="Q27" s="64"/>
      <c r="R27" s="64"/>
      <c r="S27" s="3"/>
      <c r="AD27" s="3"/>
      <c r="AE27" s="3"/>
      <c r="AK27" s="65"/>
      <c r="AL27" s="6"/>
      <c r="AM27" s="6"/>
      <c r="AN27" s="6"/>
      <c r="AO27" s="6"/>
      <c r="AP27" s="6"/>
      <c r="AQ27" s="6"/>
      <c r="AR27" s="64"/>
      <c r="AS27" s="6"/>
      <c r="AT27" s="6"/>
      <c r="AU27" s="6"/>
      <c r="AV27" s="6"/>
      <c r="AW27" s="6"/>
      <c r="AX27" s="6"/>
      <c r="AY27" s="6"/>
      <c r="AZ27" s="6"/>
      <c r="BA27" s="6"/>
      <c r="BB27" s="6"/>
      <c r="BC27" s="6"/>
      <c r="BD27" s="6"/>
      <c r="BE27" s="6"/>
      <c r="BF27" s="6"/>
      <c r="BG27" s="6"/>
      <c r="BH27" s="6"/>
      <c r="BI27" s="6"/>
      <c r="BJ27" s="6"/>
      <c r="BK27" s="6"/>
    </row>
    <row r="28" spans="2:63" s="1" customFormat="1">
      <c r="G28" s="1">
        <v>300</v>
      </c>
      <c r="J28" s="3"/>
      <c r="P28" s="3"/>
      <c r="Q28" s="64"/>
      <c r="R28" s="64"/>
      <c r="S28" s="3"/>
      <c r="T28" s="3"/>
      <c r="AK28" s="65"/>
      <c r="AL28" s="6"/>
      <c r="AM28" s="6"/>
      <c r="AN28" s="6"/>
      <c r="AO28" s="6"/>
      <c r="AP28" s="6"/>
      <c r="AQ28" s="6"/>
      <c r="AR28" s="64"/>
      <c r="AS28" s="6"/>
      <c r="AT28" s="6"/>
      <c r="AU28" s="6"/>
      <c r="AV28" s="6"/>
      <c r="AW28" s="6"/>
      <c r="AX28" s="6"/>
      <c r="AY28" s="6"/>
      <c r="AZ28" s="6"/>
      <c r="BA28" s="6"/>
      <c r="BB28" s="6"/>
      <c r="BC28" s="6"/>
      <c r="BD28" s="6"/>
      <c r="BE28" s="6"/>
      <c r="BF28" s="6"/>
      <c r="BG28" s="6"/>
      <c r="BH28" s="6"/>
      <c r="BI28" s="6"/>
      <c r="BJ28" s="6"/>
      <c r="BK28" s="6"/>
    </row>
    <row r="29" spans="2:63" s="1" customFormat="1" ht="14.1">
      <c r="B29" s="1" t="s">
        <v>55</v>
      </c>
      <c r="C29" s="66" t="s">
        <v>56</v>
      </c>
      <c r="G29" s="1">
        <f>E32*0.32</f>
        <v>2560</v>
      </c>
      <c r="I29" s="1">
        <v>510</v>
      </c>
      <c r="J29" s="3">
        <f>E32*I29/1000000</f>
        <v>4.08</v>
      </c>
      <c r="K29" s="1">
        <f>J29*G28</f>
        <v>1224</v>
      </c>
      <c r="P29" s="3"/>
      <c r="Q29" s="64"/>
      <c r="R29" s="64"/>
      <c r="S29" s="3"/>
      <c r="T29" s="3"/>
      <c r="AK29" s="65"/>
      <c r="AL29" s="6"/>
      <c r="AM29" s="6"/>
      <c r="AN29" s="6"/>
      <c r="AO29" s="6"/>
      <c r="AP29" s="67"/>
      <c r="AQ29" s="6"/>
      <c r="AR29" s="64"/>
      <c r="AS29" s="6"/>
      <c r="AT29" s="6" t="s">
        <v>57</v>
      </c>
      <c r="AU29" s="6"/>
      <c r="AV29" s="6"/>
      <c r="AW29" s="6"/>
      <c r="AX29" s="6"/>
      <c r="AY29" s="6"/>
      <c r="AZ29" s="6"/>
      <c r="BA29" s="6"/>
      <c r="BB29" s="6"/>
      <c r="BC29" s="6"/>
      <c r="BD29" s="6"/>
      <c r="BE29" s="6"/>
      <c r="BF29" s="6"/>
      <c r="BG29" s="6"/>
      <c r="BH29" s="6"/>
      <c r="BI29" s="6"/>
      <c r="BJ29" s="6"/>
      <c r="BK29" s="6"/>
    </row>
    <row r="30" spans="2:63" s="1" customFormat="1" ht="13.8">
      <c r="C30" s="1" t="s">
        <v>58</v>
      </c>
      <c r="D30" s="3"/>
      <c r="J30" s="3"/>
      <c r="P30" s="3"/>
      <c r="Q30" s="64"/>
      <c r="R30" s="64"/>
      <c r="S30" s="3"/>
      <c r="AK30" s="65"/>
      <c r="AL30" s="6"/>
      <c r="AM30" s="6"/>
      <c r="AN30" s="6"/>
      <c r="AO30" s="68" t="s">
        <v>59</v>
      </c>
      <c r="AP30" s="6"/>
      <c r="AQ30" s="6"/>
      <c r="AR30" s="64"/>
      <c r="AS30" s="6"/>
      <c r="AT30" s="6" t="str">
        <f>CONCATENATE("Von 15% Anforderung; dann nur noch ",(15-(15*(1/6)))," %")</f>
        <v>Von 15% Anforderung; dann nur noch 12,5 %</v>
      </c>
      <c r="AU30" s="6"/>
      <c r="AV30" s="6"/>
      <c r="AW30" s="6"/>
      <c r="AX30" s="6"/>
      <c r="AY30" s="6"/>
      <c r="AZ30" s="6"/>
      <c r="BA30" s="6"/>
      <c r="BB30" s="6"/>
      <c r="BC30" s="6"/>
      <c r="BD30" s="6"/>
      <c r="BE30" s="6"/>
      <c r="BF30" s="6"/>
      <c r="BG30" s="6"/>
      <c r="BH30" s="6"/>
      <c r="BI30" s="6"/>
      <c r="BJ30" s="6"/>
      <c r="BK30" s="6"/>
    </row>
    <row r="31" spans="2:63" s="1" customFormat="1" ht="13.9" customHeight="1">
      <c r="C31" s="17" t="s">
        <v>60</v>
      </c>
      <c r="D31" s="18"/>
      <c r="E31" s="69">
        <v>3</v>
      </c>
      <c r="F31" s="70" t="s">
        <v>61</v>
      </c>
      <c r="J31" s="3"/>
      <c r="P31" s="3"/>
      <c r="Q31" s="64"/>
      <c r="R31" s="64"/>
      <c r="S31" s="3"/>
      <c r="AK31" s="65"/>
      <c r="AL31" s="6"/>
      <c r="AM31" s="6"/>
      <c r="AN31" s="6"/>
      <c r="AO31" s="68"/>
      <c r="AP31" s="68" t="s">
        <v>62</v>
      </c>
      <c r="AQ31" s="6"/>
      <c r="AR31" s="64"/>
      <c r="AS31" s="6"/>
      <c r="AT31" s="6"/>
      <c r="AU31" s="6"/>
      <c r="AV31" s="6"/>
      <c r="AW31" s="6"/>
      <c r="AX31" s="6"/>
      <c r="AY31" s="6"/>
      <c r="AZ31" s="6"/>
      <c r="BA31" s="6"/>
      <c r="BB31" s="6"/>
      <c r="BC31" s="6"/>
      <c r="BD31" s="6"/>
      <c r="BE31" s="6"/>
      <c r="BF31" s="6"/>
      <c r="BG31" s="6"/>
      <c r="BH31" s="6"/>
      <c r="BI31" s="6"/>
      <c r="BJ31" s="6"/>
      <c r="BK31" s="6"/>
    </row>
    <row r="32" spans="2:63" s="1" customFormat="1" ht="24" customHeight="1">
      <c r="C32" s="17" t="s">
        <v>63</v>
      </c>
      <c r="D32" s="18"/>
      <c r="E32" s="69">
        <v>8000</v>
      </c>
      <c r="F32" s="70" t="s">
        <v>21</v>
      </c>
      <c r="G32" s="71" t="str">
        <f>CONCATENATE("Deckungsgrad ",ROUND((E32/E33)*100,0),"%")</f>
        <v>Deckungsgrad 42%</v>
      </c>
      <c r="J32" s="3"/>
      <c r="P32" s="3"/>
      <c r="Q32" s="64"/>
      <c r="R32" s="64"/>
      <c r="S32" s="3"/>
      <c r="T32" s="72"/>
      <c r="U32" s="72"/>
      <c r="V32" s="72"/>
      <c r="W32" s="72"/>
      <c r="X32" s="72"/>
      <c r="Y32" s="72"/>
      <c r="Z32" s="72"/>
      <c r="AA32" s="72"/>
      <c r="AB32" s="72"/>
      <c r="AC32" s="72"/>
      <c r="AD32" s="72"/>
      <c r="AE32" s="72"/>
      <c r="AF32" s="72"/>
      <c r="AG32" s="72"/>
      <c r="AH32" s="72"/>
      <c r="AI32" s="72"/>
      <c r="AJ32" s="72"/>
      <c r="AK32" s="73"/>
      <c r="AL32" s="6"/>
      <c r="AM32" s="6"/>
      <c r="AN32" s="6"/>
      <c r="AO32" s="68" t="s">
        <v>64</v>
      </c>
      <c r="AP32" s="6"/>
      <c r="AQ32" s="6"/>
      <c r="AR32" s="64"/>
      <c r="AS32" s="6"/>
      <c r="AT32" s="6"/>
      <c r="AU32" s="6"/>
      <c r="AV32" s="6" t="s">
        <v>65</v>
      </c>
      <c r="AW32" s="6"/>
      <c r="AX32" s="6"/>
      <c r="AY32" s="6"/>
      <c r="AZ32" s="6"/>
      <c r="BA32" s="6"/>
      <c r="BB32" s="6"/>
      <c r="BC32" s="6"/>
      <c r="BD32" s="6"/>
      <c r="BE32" s="6"/>
      <c r="BF32" s="6"/>
      <c r="BG32" s="6"/>
      <c r="BH32" s="6"/>
      <c r="BI32" s="6"/>
      <c r="BJ32" s="6"/>
      <c r="BK32" s="6"/>
    </row>
    <row r="33" spans="2:63" s="1" customFormat="1" ht="24.6" customHeight="1">
      <c r="C33" s="17" t="s">
        <v>66</v>
      </c>
      <c r="D33" s="18"/>
      <c r="E33" s="25">
        <f>G12</f>
        <v>18900</v>
      </c>
      <c r="F33" s="74" t="s">
        <v>21</v>
      </c>
      <c r="J33" s="3"/>
      <c r="AK33" s="6"/>
      <c r="AL33" s="6"/>
      <c r="AM33" s="6"/>
      <c r="AN33" s="68" t="s">
        <v>67</v>
      </c>
      <c r="AO33" s="68" t="s">
        <v>68</v>
      </c>
      <c r="AP33" s="6"/>
      <c r="AQ33" s="6"/>
      <c r="AS33" s="6"/>
      <c r="AT33" s="6"/>
      <c r="AU33" s="6"/>
      <c r="AV33" s="68" t="s">
        <v>60</v>
      </c>
      <c r="AW33" s="68"/>
      <c r="AX33" s="6"/>
      <c r="AY33" s="6"/>
      <c r="AZ33" s="6"/>
      <c r="BA33" s="6"/>
      <c r="BB33" s="6"/>
      <c r="BC33" s="6"/>
      <c r="BD33" s="6"/>
      <c r="BE33" s="6"/>
      <c r="BF33" s="6"/>
      <c r="BG33" s="6"/>
      <c r="BH33" s="6"/>
      <c r="BI33" s="6"/>
      <c r="BJ33" s="6"/>
      <c r="BK33" s="6"/>
    </row>
    <row r="34" spans="2:63" s="1" customFormat="1" ht="14.4">
      <c r="C34" s="17" t="s">
        <v>69</v>
      </c>
      <c r="D34" s="18"/>
      <c r="E34" s="75">
        <f>(E32/E33)*(1-(0.5/(E31*0.21)))</f>
        <v>8.7343579407071478E-2</v>
      </c>
      <c r="F34" s="1" t="s">
        <v>70</v>
      </c>
      <c r="J34" s="3"/>
      <c r="AK34" s="6"/>
      <c r="AL34" s="6"/>
      <c r="AM34" s="6"/>
      <c r="AN34" s="68" t="s">
        <v>71</v>
      </c>
      <c r="AO34" s="68" t="s">
        <v>72</v>
      </c>
      <c r="AP34" s="6"/>
      <c r="AQ34" s="6"/>
      <c r="AS34" s="6"/>
      <c r="AT34" s="6"/>
      <c r="AU34" s="6"/>
      <c r="AV34" s="6"/>
      <c r="AW34" s="6"/>
      <c r="AX34" s="6"/>
      <c r="AY34" s="6"/>
      <c r="AZ34" s="6"/>
      <c r="BA34" s="6"/>
      <c r="BB34" s="6"/>
      <c r="BC34" s="6"/>
      <c r="BD34" s="6"/>
      <c r="BE34" s="6"/>
      <c r="BF34" s="6"/>
      <c r="BG34" s="6"/>
      <c r="BH34" s="6"/>
      <c r="BI34" s="6"/>
      <c r="BJ34" s="6"/>
      <c r="BK34" s="6"/>
    </row>
    <row r="35" spans="2:63" s="1" customFormat="1">
      <c r="C35" s="53" t="str">
        <f>IF(E34&lt;0.149,"Achtung Verpflichtung zur Nutzung von erneuerbaren Energien nach § 17 Absatz 1 HmbKliSchG wird erstmal nicht eingehalten!","")</f>
        <v>Achtung Verpflichtung zur Nutzung von erneuerbaren Energien nach § 17 Absatz 1 HmbKliSchG wird erstmal nicht eingehalten!</v>
      </c>
      <c r="D35" s="3"/>
      <c r="J35" s="3"/>
      <c r="AK35" s="6"/>
      <c r="AL35" s="6"/>
      <c r="AM35" s="6"/>
      <c r="AN35" s="6"/>
      <c r="AO35" s="6"/>
      <c r="AP35" s="6"/>
      <c r="AQ35" s="6"/>
      <c r="AS35" s="6" t="s">
        <v>73</v>
      </c>
      <c r="AT35" s="6"/>
      <c r="AU35" s="6"/>
      <c r="AV35" s="6"/>
      <c r="AW35" s="6"/>
      <c r="AX35" s="6"/>
      <c r="AY35" s="6"/>
      <c r="AZ35" s="6"/>
      <c r="BA35" s="6"/>
      <c r="BB35" s="6"/>
      <c r="BC35" s="6"/>
      <c r="BD35" s="6"/>
      <c r="BE35" s="6"/>
      <c r="BF35" s="6"/>
      <c r="BG35" s="6"/>
      <c r="BH35" s="6"/>
      <c r="BI35" s="6"/>
      <c r="BJ35" s="6"/>
      <c r="BK35" s="6"/>
    </row>
    <row r="36" spans="2:63" s="1" customFormat="1">
      <c r="D36" s="3"/>
      <c r="J36" s="3"/>
      <c r="AK36" s="6"/>
      <c r="AL36" s="6"/>
      <c r="AM36" s="6"/>
      <c r="AN36" s="6"/>
      <c r="AO36" s="6"/>
      <c r="AP36" s="6"/>
      <c r="AQ36" s="6"/>
      <c r="AS36" s="6"/>
      <c r="AT36" s="6"/>
      <c r="AU36" s="6"/>
      <c r="AV36" s="6"/>
      <c r="AW36" s="6"/>
      <c r="AX36" s="6"/>
      <c r="AY36" s="6"/>
      <c r="AZ36" s="6"/>
      <c r="BA36" s="6"/>
      <c r="BB36" s="6"/>
      <c r="BC36" s="6"/>
      <c r="BD36" s="6"/>
      <c r="BE36" s="6"/>
      <c r="BF36" s="6"/>
      <c r="BG36" s="6"/>
      <c r="BH36" s="6"/>
      <c r="BI36" s="6"/>
      <c r="BJ36" s="6"/>
      <c r="BK36" s="6"/>
    </row>
    <row r="37" spans="2:63" s="1" customFormat="1" ht="14.1">
      <c r="B37" s="1" t="s">
        <v>74</v>
      </c>
      <c r="C37" s="66" t="s">
        <v>75</v>
      </c>
      <c r="D37" s="3"/>
      <c r="G37" s="1">
        <f>E40*0.11</f>
        <v>1595</v>
      </c>
      <c r="I37" s="1">
        <v>260</v>
      </c>
      <c r="J37" s="3">
        <f>E40*I37/1000000</f>
        <v>3.77</v>
      </c>
      <c r="K37" s="1">
        <f>J37*G28</f>
        <v>1131</v>
      </c>
      <c r="AK37" s="6"/>
      <c r="AL37" s="6"/>
      <c r="AM37" s="6"/>
      <c r="AN37" s="6"/>
      <c r="AO37" s="6"/>
      <c r="AP37" s="6"/>
      <c r="AQ37" s="6"/>
      <c r="AS37" s="6"/>
      <c r="AT37" s="6"/>
      <c r="AU37" s="6"/>
      <c r="AV37" s="6"/>
      <c r="AW37" s="6"/>
      <c r="AX37" s="6"/>
      <c r="AY37" s="6"/>
      <c r="AZ37" s="6"/>
      <c r="BA37" s="6"/>
      <c r="BB37" s="6"/>
      <c r="BC37" s="6"/>
      <c r="BD37" s="6"/>
      <c r="BE37" s="6"/>
      <c r="BF37" s="6"/>
      <c r="BG37" s="6"/>
      <c r="BH37" s="6"/>
      <c r="BI37" s="6"/>
      <c r="BJ37" s="6"/>
      <c r="BK37" s="6"/>
    </row>
    <row r="38" spans="2:63" s="1" customFormat="1" ht="13.8">
      <c r="C38" s="1" t="s">
        <v>58</v>
      </c>
      <c r="D38" s="3"/>
      <c r="E38" s="3"/>
      <c r="F38" s="66"/>
      <c r="G38" s="1">
        <v>30000</v>
      </c>
      <c r="I38" s="1">
        <v>260</v>
      </c>
      <c r="J38" s="3">
        <f>G38*I38/1000000</f>
        <v>7.8</v>
      </c>
      <c r="K38" s="1">
        <f>J38*G28</f>
        <v>2340</v>
      </c>
      <c r="AK38" s="6"/>
      <c r="AL38" s="6"/>
      <c r="AM38" s="6"/>
      <c r="AN38" s="6"/>
      <c r="AO38" s="6"/>
      <c r="AP38" s="6"/>
      <c r="AQ38" s="6"/>
      <c r="AS38" s="6"/>
      <c r="AT38" s="6"/>
      <c r="AU38" s="6"/>
      <c r="AV38" s="6"/>
      <c r="AW38" s="6"/>
      <c r="AX38" s="6"/>
      <c r="AY38" s="6"/>
      <c r="AZ38" s="6"/>
      <c r="BA38" s="6"/>
      <c r="BB38" s="6"/>
      <c r="BC38" s="6"/>
      <c r="BD38" s="6"/>
      <c r="BE38" s="6"/>
      <c r="BF38" s="6"/>
      <c r="BG38" s="6"/>
      <c r="BH38" s="6"/>
      <c r="BI38" s="6"/>
      <c r="BJ38" s="6"/>
      <c r="BK38" s="6"/>
    </row>
    <row r="39" spans="2:63" s="1" customFormat="1" ht="12.4" customHeight="1">
      <c r="C39" s="17" t="s">
        <v>60</v>
      </c>
      <c r="D39" s="18"/>
      <c r="E39" s="69">
        <v>1.2</v>
      </c>
      <c r="F39" s="76" t="s">
        <v>76</v>
      </c>
      <c r="J39" s="3"/>
      <c r="AK39" s="6"/>
      <c r="AL39" s="6"/>
      <c r="AM39" s="6" t="s">
        <v>77</v>
      </c>
      <c r="AN39" s="6"/>
      <c r="AO39" s="6"/>
      <c r="AP39" s="6"/>
      <c r="AQ39" s="6"/>
      <c r="AS39" s="6"/>
      <c r="AT39" s="6"/>
      <c r="AU39" s="6"/>
      <c r="AV39" s="6"/>
      <c r="AW39" s="6"/>
      <c r="AX39" s="6"/>
      <c r="AY39" s="6"/>
      <c r="AZ39" s="6"/>
      <c r="BA39" s="6"/>
      <c r="BB39" s="6"/>
      <c r="BC39" s="6"/>
      <c r="BD39" s="6"/>
      <c r="BE39" s="6"/>
      <c r="BF39" s="6"/>
      <c r="BG39" s="6"/>
      <c r="BH39" s="6"/>
      <c r="BI39" s="6"/>
      <c r="BJ39" s="6"/>
      <c r="BK39" s="6"/>
    </row>
    <row r="40" spans="2:63" s="1" customFormat="1" ht="26.65" customHeight="1">
      <c r="C40" s="17" t="s">
        <v>63</v>
      </c>
      <c r="D40" s="18"/>
      <c r="E40" s="69">
        <v>14500</v>
      </c>
      <c r="F40" s="70" t="s">
        <v>21</v>
      </c>
      <c r="G40" s="71" t="str">
        <f>CONCATENATE("Deckungsgrad ",ROUND((E40/E41)*100,0),"%")</f>
        <v>Deckungsgrad 77%</v>
      </c>
      <c r="J40" s="3"/>
      <c r="AK40" s="6"/>
      <c r="AL40" s="6"/>
      <c r="AM40" s="6" t="s">
        <v>78</v>
      </c>
      <c r="AN40" s="6"/>
      <c r="AO40" s="6" t="s">
        <v>78</v>
      </c>
      <c r="AP40" s="6"/>
      <c r="AQ40" s="6" t="s">
        <v>79</v>
      </c>
      <c r="AS40" s="6"/>
      <c r="AT40" s="6" t="s">
        <v>80</v>
      </c>
      <c r="AU40" s="6" t="s">
        <v>81</v>
      </c>
      <c r="AV40" s="6" t="s">
        <v>82</v>
      </c>
      <c r="AW40" s="6"/>
      <c r="AX40" s="6"/>
      <c r="AY40" s="6" t="s">
        <v>83</v>
      </c>
      <c r="AZ40" s="6"/>
      <c r="BA40" s="6" t="s">
        <v>84</v>
      </c>
      <c r="BB40" s="6"/>
      <c r="BC40" s="6"/>
      <c r="BD40" s="6"/>
      <c r="BE40" s="6"/>
      <c r="BF40" s="6"/>
      <c r="BG40" s="6"/>
      <c r="BH40" s="6"/>
      <c r="BI40" s="6"/>
      <c r="BJ40" s="6"/>
      <c r="BK40" s="6"/>
    </row>
    <row r="41" spans="2:63" s="1" customFormat="1" ht="26.65" customHeight="1">
      <c r="C41" s="17" t="s">
        <v>66</v>
      </c>
      <c r="D41" s="18"/>
      <c r="E41" s="25">
        <f>G12</f>
        <v>18900</v>
      </c>
      <c r="F41" s="74" t="s">
        <v>21</v>
      </c>
      <c r="J41" s="3"/>
      <c r="AK41" s="6"/>
      <c r="AL41" s="6"/>
      <c r="AM41" s="6" t="s">
        <v>79</v>
      </c>
      <c r="AN41" s="6">
        <v>10.42</v>
      </c>
      <c r="AO41" s="6" t="s">
        <v>35</v>
      </c>
      <c r="AP41" s="6">
        <v>10.08</v>
      </c>
      <c r="AQ41" s="6" t="s">
        <v>85</v>
      </c>
      <c r="AS41" s="6">
        <v>2326</v>
      </c>
      <c r="AT41" s="6" t="s">
        <v>86</v>
      </c>
      <c r="AU41" s="6" t="s">
        <v>21</v>
      </c>
      <c r="AV41" s="6" t="s">
        <v>21</v>
      </c>
      <c r="AW41" s="6"/>
      <c r="AX41" s="6">
        <v>8.7100000000000009</v>
      </c>
      <c r="AY41" s="6" t="s">
        <v>87</v>
      </c>
      <c r="AZ41" s="6">
        <v>12.8</v>
      </c>
      <c r="BA41" s="6" t="s">
        <v>88</v>
      </c>
      <c r="BB41" s="6"/>
      <c r="BC41" s="6"/>
      <c r="BD41" s="68" t="s">
        <v>89</v>
      </c>
      <c r="BE41" s="6"/>
      <c r="BF41" s="6"/>
      <c r="BG41" s="6"/>
      <c r="BH41" s="6"/>
      <c r="BI41" s="6"/>
      <c r="BJ41" s="6"/>
      <c r="BK41" s="6"/>
    </row>
    <row r="42" spans="2:63" s="1" customFormat="1" ht="14.4">
      <c r="C42" s="17" t="s">
        <v>69</v>
      </c>
      <c r="D42" s="18"/>
      <c r="E42" s="75">
        <f>(E40/E41)*(1-(0.21/(E39*0.21)))</f>
        <v>0.12786596119929458</v>
      </c>
      <c r="F42" s="1" t="s">
        <v>70</v>
      </c>
      <c r="J42" s="3"/>
      <c r="AK42" s="6"/>
      <c r="AL42" s="6"/>
      <c r="AM42" s="6" t="s">
        <v>80</v>
      </c>
      <c r="AN42" s="6">
        <v>0.9</v>
      </c>
      <c r="AO42" s="43" t="s">
        <v>90</v>
      </c>
      <c r="AP42" s="6">
        <v>0.94</v>
      </c>
      <c r="AQ42" s="43" t="s">
        <v>90</v>
      </c>
      <c r="AS42" s="6">
        <v>850</v>
      </c>
      <c r="AT42" s="6" t="s">
        <v>91</v>
      </c>
      <c r="AU42" s="6"/>
      <c r="AV42" s="6"/>
      <c r="AW42" s="6"/>
      <c r="AX42" s="6">
        <v>7.71</v>
      </c>
      <c r="AY42" s="6" t="s">
        <v>92</v>
      </c>
      <c r="AZ42" s="6">
        <v>7.13</v>
      </c>
      <c r="BA42" s="6" t="s">
        <v>85</v>
      </c>
      <c r="BB42" s="6"/>
      <c r="BC42" s="6"/>
      <c r="BD42" s="68" t="s">
        <v>93</v>
      </c>
      <c r="BE42" s="6"/>
      <c r="BF42" s="6"/>
      <c r="BG42" s="6"/>
      <c r="BH42" s="6"/>
      <c r="BI42" s="6"/>
      <c r="BJ42" s="6"/>
      <c r="BK42" s="6"/>
    </row>
    <row r="43" spans="2:63" s="1" customFormat="1" ht="25.5" customHeight="1">
      <c r="C43" s="77" t="str">
        <f>IF(E42&lt;0.149,"Achtung Verpflichtung zur Nutzung von erneuerbaren Energien nach § 17 Absatz 1 HmbKliSchG wird erstmal nicht eingehalten!","")</f>
        <v>Achtung Verpflichtung zur Nutzung von erneuerbaren Energien nach § 17 Absatz 1 HmbKliSchG wird erstmal nicht eingehalten!</v>
      </c>
      <c r="D43" s="77"/>
      <c r="E43" s="77"/>
      <c r="J43" s="3"/>
      <c r="AK43" s="6"/>
      <c r="AL43" s="6"/>
      <c r="AM43" s="6" t="s">
        <v>81</v>
      </c>
      <c r="AN43" s="6">
        <v>1</v>
      </c>
      <c r="AO43" s="6" t="s">
        <v>94</v>
      </c>
      <c r="AP43" s="6">
        <v>1</v>
      </c>
      <c r="AQ43" s="6" t="s">
        <v>94</v>
      </c>
      <c r="AS43" s="6">
        <v>4.9000000000000004</v>
      </c>
      <c r="AT43" s="6" t="s">
        <v>95</v>
      </c>
      <c r="AU43" s="6"/>
      <c r="AV43" s="6"/>
      <c r="AW43" s="6"/>
      <c r="AX43" s="6">
        <v>5.42</v>
      </c>
      <c r="AY43" s="6" t="s">
        <v>96</v>
      </c>
      <c r="AZ43" s="6">
        <v>0.92</v>
      </c>
      <c r="BA43" s="43" t="s">
        <v>90</v>
      </c>
      <c r="BB43" s="6"/>
      <c r="BC43" s="6"/>
      <c r="BD43" s="6"/>
      <c r="BE43" s="6"/>
      <c r="BF43" s="6"/>
      <c r="BG43" s="6"/>
      <c r="BH43" s="6"/>
      <c r="BI43" s="6"/>
      <c r="BJ43" s="6"/>
      <c r="BK43" s="6"/>
    </row>
    <row r="44" spans="2:63" s="1" customFormat="1" ht="13.9" customHeight="1">
      <c r="J44" s="3"/>
      <c r="AK44" s="6"/>
      <c r="AL44" s="6"/>
      <c r="AM44" s="6" t="s">
        <v>82</v>
      </c>
      <c r="AN44" s="6"/>
      <c r="AO44" s="6"/>
      <c r="AP44" s="6"/>
      <c r="AQ44" s="6"/>
      <c r="AS44" s="6"/>
      <c r="AT44" s="6"/>
      <c r="AU44" s="6"/>
      <c r="AV44" s="6"/>
      <c r="AW44" s="6"/>
      <c r="AX44" s="6"/>
      <c r="AY44" s="6"/>
      <c r="AZ44" s="6">
        <v>1</v>
      </c>
      <c r="BA44" s="6" t="s">
        <v>94</v>
      </c>
      <c r="BB44" s="6"/>
      <c r="BC44" s="6"/>
      <c r="BD44" s="6"/>
      <c r="BE44" s="6"/>
      <c r="BF44" s="6"/>
      <c r="BG44" s="6"/>
      <c r="BH44" s="6"/>
      <c r="BI44" s="6"/>
      <c r="BJ44" s="6"/>
      <c r="BK44" s="6"/>
    </row>
    <row r="45" spans="2:63" s="1" customFormat="1" ht="15.6">
      <c r="B45" s="1" t="s">
        <v>97</v>
      </c>
      <c r="C45" s="78" t="s">
        <v>98</v>
      </c>
      <c r="J45" s="3"/>
      <c r="AK45" s="6"/>
      <c r="AL45" s="6"/>
      <c r="AM45" s="6" t="s">
        <v>83</v>
      </c>
      <c r="AN45" s="6"/>
      <c r="AO45" s="6"/>
      <c r="AP45" s="6"/>
      <c r="AQ45" s="6"/>
      <c r="AS45" s="6"/>
      <c r="AT45" s="6"/>
      <c r="AU45" s="6"/>
      <c r="AV45" s="6"/>
      <c r="AW45" s="6"/>
      <c r="AX45" s="6"/>
      <c r="AY45" s="6"/>
      <c r="AZ45" s="6"/>
      <c r="BA45" s="6"/>
      <c r="BB45" s="6"/>
      <c r="BC45" s="6"/>
      <c r="BD45" s="6"/>
      <c r="BE45" s="6"/>
      <c r="BF45" s="6"/>
      <c r="BG45" s="6"/>
      <c r="BH45" s="6"/>
      <c r="BI45" s="6"/>
      <c r="BJ45" s="6"/>
      <c r="BK45" s="6"/>
    </row>
    <row r="46" spans="2:63" s="1" customFormat="1">
      <c r="D46" s="3"/>
      <c r="E46" s="1" t="s">
        <v>99</v>
      </c>
      <c r="G46" s="1" t="s">
        <v>100</v>
      </c>
      <c r="J46" s="3"/>
      <c r="AK46" s="6"/>
      <c r="AL46" s="6"/>
      <c r="AM46" s="6" t="s">
        <v>84</v>
      </c>
      <c r="AN46" s="6"/>
      <c r="AO46" s="6"/>
      <c r="AP46" s="6"/>
      <c r="AQ46" s="6"/>
      <c r="AS46" s="6"/>
      <c r="AT46" s="6"/>
      <c r="AU46" s="6"/>
      <c r="AV46" s="6"/>
      <c r="AW46" s="6"/>
      <c r="AX46" s="6"/>
      <c r="AY46" s="6"/>
      <c r="AZ46" s="3"/>
      <c r="BA46" s="3"/>
      <c r="BB46" s="6"/>
      <c r="BC46" s="6"/>
      <c r="BD46" s="6"/>
      <c r="BE46" s="6"/>
      <c r="BF46" s="6"/>
      <c r="BG46" s="6"/>
      <c r="BH46" s="6"/>
      <c r="BI46" s="6"/>
      <c r="BJ46" s="6"/>
      <c r="BK46" s="6"/>
    </row>
    <row r="47" spans="2:63" s="1" customFormat="1">
      <c r="B47" s="1" t="s">
        <v>101</v>
      </c>
      <c r="C47" s="25" t="s">
        <v>102</v>
      </c>
      <c r="D47" s="26"/>
      <c r="E47" s="69">
        <v>35</v>
      </c>
      <c r="F47" s="70"/>
      <c r="J47" s="3"/>
      <c r="AK47" s="6"/>
      <c r="AL47" s="6"/>
      <c r="AM47" s="6"/>
      <c r="AN47" s="6"/>
      <c r="AO47" s="6"/>
      <c r="AP47" s="6"/>
      <c r="AQ47" s="6"/>
      <c r="AS47" s="6"/>
      <c r="AT47" s="6"/>
      <c r="AU47" s="6"/>
      <c r="AV47" s="6"/>
      <c r="AW47" s="6"/>
      <c r="AX47" s="6"/>
      <c r="AY47" s="6"/>
      <c r="AZ47" s="3"/>
      <c r="BA47" s="3"/>
      <c r="BB47" s="6"/>
      <c r="BC47" s="6"/>
      <c r="BD47" s="6"/>
      <c r="BE47" s="6"/>
      <c r="BF47" s="6"/>
      <c r="BG47" s="6"/>
      <c r="BH47" s="6"/>
      <c r="BI47" s="6"/>
      <c r="BJ47" s="6"/>
      <c r="BK47" s="6"/>
    </row>
    <row r="48" spans="2:63" s="1" customFormat="1">
      <c r="C48" s="25" t="s">
        <v>103</v>
      </c>
      <c r="D48" s="26"/>
      <c r="E48" s="69">
        <v>2.2000000000000002</v>
      </c>
      <c r="F48" s="70" t="s">
        <v>104</v>
      </c>
      <c r="J48" s="3"/>
      <c r="AK48" s="6"/>
      <c r="AL48" s="6"/>
      <c r="AM48" s="6"/>
      <c r="AN48" s="6"/>
      <c r="AO48" s="6"/>
      <c r="AP48" s="6" t="s">
        <v>105</v>
      </c>
      <c r="AQ48" s="6"/>
      <c r="AS48" s="6"/>
      <c r="AT48" s="6"/>
      <c r="AU48" s="6"/>
      <c r="AV48" s="6"/>
      <c r="AW48" s="6"/>
      <c r="AX48" s="6"/>
      <c r="AY48" s="6"/>
      <c r="AZ48" s="3"/>
      <c r="BA48" s="3"/>
      <c r="BB48" s="6"/>
      <c r="BC48" s="6"/>
      <c r="BD48" s="6"/>
      <c r="BE48" s="6"/>
      <c r="BF48" s="6"/>
      <c r="BG48" s="6"/>
      <c r="BH48" s="6"/>
      <c r="BI48" s="6"/>
      <c r="BJ48" s="6"/>
      <c r="BK48" s="6"/>
    </row>
    <row r="49" spans="2:63" s="1" customFormat="1">
      <c r="C49" s="25" t="s">
        <v>106</v>
      </c>
      <c r="D49" s="26"/>
      <c r="E49" s="25">
        <f>E48*365*E47</f>
        <v>28105.000000000004</v>
      </c>
      <c r="F49" s="70" t="s">
        <v>107</v>
      </c>
      <c r="J49" s="3"/>
      <c r="AK49" s="6"/>
      <c r="AL49" s="6"/>
      <c r="AM49" s="6"/>
      <c r="AN49" s="6"/>
      <c r="AO49" s="6"/>
      <c r="AP49" s="6"/>
      <c r="AQ49" s="6"/>
      <c r="AS49" s="6"/>
      <c r="AT49" s="6" t="s">
        <v>108</v>
      </c>
      <c r="AU49" s="6"/>
      <c r="AV49" s="6"/>
      <c r="AW49" s="6"/>
      <c r="AX49" s="6"/>
      <c r="AY49" s="6"/>
      <c r="AZ49" s="3"/>
      <c r="BA49" s="3"/>
      <c r="BB49" s="6"/>
      <c r="BC49" s="6"/>
      <c r="BD49" s="6"/>
      <c r="BE49" s="6"/>
      <c r="BF49" s="6"/>
      <c r="BG49" s="6"/>
      <c r="BH49" s="6"/>
      <c r="BI49" s="6"/>
      <c r="BJ49" s="6"/>
      <c r="BK49" s="6"/>
    </row>
    <row r="50" spans="2:63" s="1" customFormat="1">
      <c r="D50" s="3"/>
      <c r="J50" s="3"/>
      <c r="AK50" s="6"/>
      <c r="AL50" s="6"/>
      <c r="AM50" s="6"/>
      <c r="AN50" s="6"/>
      <c r="AO50" s="6"/>
      <c r="AP50" s="79" t="s">
        <v>109</v>
      </c>
      <c r="AQ50" s="79" t="s">
        <v>110</v>
      </c>
      <c r="AS50" s="79"/>
      <c r="AT50" s="79"/>
      <c r="AU50" s="79"/>
      <c r="AV50" s="79" t="s">
        <v>111</v>
      </c>
      <c r="AW50" s="79"/>
      <c r="AX50" s="79"/>
      <c r="AY50" s="79"/>
      <c r="AZ50" s="3"/>
      <c r="BA50" s="3"/>
      <c r="BB50" s="6"/>
      <c r="BC50" s="6"/>
      <c r="BD50" s="6"/>
      <c r="BE50" s="6"/>
      <c r="BF50" s="6"/>
      <c r="BG50" s="6"/>
      <c r="BH50" s="6"/>
      <c r="BI50" s="6"/>
      <c r="BJ50" s="6"/>
      <c r="BK50" s="6"/>
    </row>
    <row r="51" spans="2:63" s="1" customFormat="1">
      <c r="B51" s="1" t="s">
        <v>112</v>
      </c>
      <c r="C51" s="25" t="s">
        <v>113</v>
      </c>
      <c r="D51" s="26"/>
      <c r="E51" s="25">
        <v>20</v>
      </c>
      <c r="F51" s="70" t="s">
        <v>114</v>
      </c>
      <c r="J51" s="3"/>
      <c r="AK51" s="6"/>
      <c r="AL51" s="6"/>
      <c r="AM51" s="6"/>
      <c r="AN51" s="6"/>
      <c r="AO51" s="6"/>
      <c r="AP51" s="80" t="s">
        <v>115</v>
      </c>
      <c r="AQ51" s="80" t="s">
        <v>116</v>
      </c>
      <c r="AS51" s="80"/>
      <c r="AT51" s="80" t="s">
        <v>117</v>
      </c>
      <c r="AU51" s="80" t="s">
        <v>118</v>
      </c>
      <c r="AV51" s="80" t="s">
        <v>119</v>
      </c>
      <c r="AW51" s="80"/>
      <c r="AX51" s="80" t="s">
        <v>120</v>
      </c>
      <c r="AY51" s="80" t="s">
        <v>121</v>
      </c>
      <c r="AZ51" s="3"/>
      <c r="BA51" s="3"/>
      <c r="BB51" s="6"/>
      <c r="BC51" s="6"/>
      <c r="BD51" s="6"/>
      <c r="BE51" s="6"/>
      <c r="BF51" s="6"/>
      <c r="BG51" s="6"/>
      <c r="BH51" s="6"/>
      <c r="BI51" s="6"/>
      <c r="BJ51" s="6"/>
      <c r="BK51" s="6"/>
    </row>
    <row r="52" spans="2:63" s="1" customFormat="1">
      <c r="C52" s="25" t="s">
        <v>106</v>
      </c>
      <c r="D52" s="26"/>
      <c r="E52" s="25">
        <f>E51*E24</f>
        <v>3240</v>
      </c>
      <c r="F52" s="70" t="s">
        <v>107</v>
      </c>
      <c r="J52" s="3"/>
      <c r="AK52" s="6"/>
      <c r="AL52" s="6"/>
      <c r="AM52" s="6"/>
      <c r="AN52" s="6"/>
      <c r="AO52" s="6"/>
      <c r="AP52" s="79">
        <v>1</v>
      </c>
      <c r="AQ52" s="6"/>
      <c r="AS52" s="6"/>
      <c r="AT52" s="6"/>
      <c r="AU52" s="6"/>
      <c r="AV52" s="6"/>
      <c r="AW52" s="6"/>
      <c r="AX52" s="6"/>
      <c r="AY52" s="6"/>
      <c r="AZ52" s="3"/>
      <c r="BA52" s="3"/>
      <c r="BB52" s="6"/>
      <c r="BC52" s="6"/>
      <c r="BD52" s="6"/>
      <c r="BE52" s="6"/>
      <c r="BF52" s="6"/>
      <c r="BG52" s="6"/>
      <c r="BH52" s="6"/>
      <c r="BI52" s="6"/>
      <c r="BJ52" s="6"/>
      <c r="BK52" s="6"/>
    </row>
    <row r="53" spans="2:63" s="1" customFormat="1">
      <c r="J53" s="3"/>
      <c r="AK53" s="6"/>
      <c r="AL53" s="6"/>
      <c r="AM53" s="6"/>
      <c r="AN53" s="6"/>
      <c r="AO53" s="6"/>
      <c r="AP53" s="79">
        <v>2</v>
      </c>
      <c r="AQ53" s="6"/>
      <c r="AS53" s="6"/>
      <c r="AT53" s="6"/>
      <c r="AU53" s="6"/>
      <c r="AV53" s="6"/>
      <c r="AW53" s="6"/>
      <c r="AX53" s="6"/>
      <c r="AY53" s="6"/>
      <c r="AZ53" s="3"/>
      <c r="BA53" s="3"/>
      <c r="BB53" s="6"/>
      <c r="BC53" s="6"/>
      <c r="BD53" s="6"/>
      <c r="BE53" s="6"/>
      <c r="BF53" s="6"/>
      <c r="BG53" s="6"/>
      <c r="BH53" s="6"/>
      <c r="BI53" s="6"/>
      <c r="BJ53" s="6"/>
      <c r="BK53" s="6"/>
    </row>
    <row r="54" spans="2:63" s="1" customFormat="1">
      <c r="B54" s="1" t="s">
        <v>122</v>
      </c>
      <c r="C54" s="25" t="s">
        <v>123</v>
      </c>
      <c r="D54" s="26"/>
      <c r="E54" s="25">
        <v>32</v>
      </c>
      <c r="F54" s="70" t="s">
        <v>124</v>
      </c>
      <c r="G54" s="1" t="s">
        <v>125</v>
      </c>
      <c r="J54" s="3"/>
      <c r="AK54" s="6"/>
      <c r="AL54" s="6"/>
      <c r="AM54" s="6"/>
      <c r="AN54" s="6"/>
      <c r="AO54" s="6"/>
      <c r="AP54" s="79">
        <v>3</v>
      </c>
      <c r="AQ54" s="6"/>
      <c r="AS54" s="6"/>
      <c r="AT54" s="6"/>
      <c r="AU54" s="6"/>
      <c r="AV54" s="6"/>
      <c r="AW54" s="6"/>
      <c r="AX54" s="6"/>
      <c r="AY54" s="6"/>
      <c r="AZ54" s="3"/>
      <c r="BA54" s="3"/>
      <c r="BB54" s="6"/>
      <c r="BC54" s="6"/>
      <c r="BD54" s="6"/>
      <c r="BE54" s="6"/>
      <c r="BF54" s="6"/>
      <c r="BG54" s="6"/>
      <c r="BH54" s="6"/>
      <c r="BI54" s="6"/>
      <c r="BJ54" s="6"/>
      <c r="BK54" s="6"/>
    </row>
    <row r="55" spans="2:63" s="1" customFormat="1" ht="14.4">
      <c r="C55" s="25" t="s">
        <v>126</v>
      </c>
      <c r="D55" s="26"/>
      <c r="E55" s="81">
        <f>E24</f>
        <v>162</v>
      </c>
      <c r="F55" s="70" t="s">
        <v>38</v>
      </c>
      <c r="G55" s="1" t="s">
        <v>127</v>
      </c>
      <c r="J55" s="3"/>
      <c r="AK55" s="6"/>
      <c r="AL55" s="6"/>
      <c r="AM55" s="6"/>
      <c r="AN55" s="6"/>
      <c r="AO55" s="6"/>
      <c r="AP55" s="79">
        <v>4</v>
      </c>
      <c r="AQ55" s="6"/>
      <c r="AS55" s="6"/>
      <c r="AT55" s="6"/>
      <c r="AU55" s="6"/>
      <c r="AV55" s="6"/>
      <c r="AW55" s="6"/>
      <c r="AX55" s="6"/>
      <c r="AY55" s="6"/>
      <c r="AZ55" s="3"/>
      <c r="BA55" s="3"/>
      <c r="BB55" s="6"/>
      <c r="BC55" s="6"/>
      <c r="BD55" s="6"/>
      <c r="BE55" s="6"/>
      <c r="BF55" s="6"/>
      <c r="BG55" s="6"/>
      <c r="BH55" s="6"/>
      <c r="BI55" s="6"/>
      <c r="BJ55" s="6"/>
      <c r="BK55" s="6"/>
    </row>
    <row r="56" spans="2:63" s="1" customFormat="1">
      <c r="C56" s="25" t="s">
        <v>106</v>
      </c>
      <c r="D56" s="26"/>
      <c r="E56" s="25">
        <f>ROUND(32*E55,0)</f>
        <v>5184</v>
      </c>
      <c r="F56" s="70" t="s">
        <v>107</v>
      </c>
      <c r="J56" s="3"/>
      <c r="AK56" s="6"/>
      <c r="AL56" s="6"/>
      <c r="AM56" s="6"/>
      <c r="AN56" s="6"/>
      <c r="AO56" s="6"/>
      <c r="AP56" s="6"/>
      <c r="AQ56" s="6"/>
      <c r="AS56" s="6"/>
      <c r="AT56" s="6"/>
      <c r="AU56" s="6"/>
      <c r="AV56" s="6"/>
      <c r="AW56" s="6"/>
      <c r="AX56" s="6"/>
      <c r="AY56" s="6"/>
      <c r="AZ56" s="3"/>
      <c r="BA56" s="3"/>
      <c r="BB56" s="6"/>
      <c r="BC56" s="6"/>
      <c r="BD56" s="6"/>
      <c r="BE56" s="6"/>
      <c r="BF56" s="6"/>
      <c r="BG56" s="6"/>
      <c r="BH56" s="6"/>
      <c r="BI56" s="6"/>
      <c r="BJ56" s="6"/>
      <c r="BK56" s="6"/>
    </row>
    <row r="57" spans="2:63" s="1" customFormat="1">
      <c r="J57" s="3"/>
      <c r="AK57" s="6"/>
      <c r="AL57" s="6"/>
      <c r="AM57" s="6"/>
      <c r="AN57" s="6"/>
      <c r="AO57" s="6"/>
      <c r="AP57" s="6"/>
      <c r="AQ57" s="6"/>
      <c r="AS57" s="6"/>
      <c r="AT57" s="6"/>
      <c r="AU57" s="6"/>
      <c r="AV57" s="6"/>
      <c r="AW57" s="6"/>
      <c r="AX57" s="6"/>
      <c r="AY57" s="6"/>
      <c r="AZ57" s="3"/>
      <c r="BA57" s="3"/>
      <c r="BB57" s="6"/>
      <c r="BC57" s="6"/>
      <c r="BD57" s="6"/>
      <c r="BE57" s="6"/>
      <c r="BF57" s="6"/>
      <c r="BG57" s="6"/>
      <c r="BH57" s="6"/>
      <c r="BI57" s="6"/>
      <c r="BJ57" s="6"/>
      <c r="BK57" s="6"/>
    </row>
    <row r="58" spans="2:63" s="1" customFormat="1">
      <c r="B58" s="1" t="s">
        <v>128</v>
      </c>
      <c r="C58" s="1" t="s">
        <v>129</v>
      </c>
      <c r="J58" s="3"/>
      <c r="AK58" s="6"/>
      <c r="AL58" s="6"/>
      <c r="AM58" s="6"/>
      <c r="AN58" s="6"/>
      <c r="AO58" s="6"/>
      <c r="AP58" s="6"/>
      <c r="AQ58" s="6"/>
      <c r="AS58" s="6"/>
      <c r="AT58" s="6"/>
      <c r="AU58" s="6"/>
      <c r="AV58" s="6"/>
      <c r="AW58" s="6"/>
      <c r="AX58" s="6"/>
      <c r="AY58" s="6"/>
      <c r="AZ58" s="6"/>
      <c r="BA58" s="6"/>
      <c r="BB58" s="6"/>
      <c r="BC58" s="6"/>
      <c r="BD58" s="6"/>
      <c r="BE58" s="6"/>
      <c r="BF58" s="6"/>
      <c r="BG58" s="6"/>
      <c r="BH58" s="6"/>
      <c r="BI58" s="6"/>
      <c r="BJ58" s="6"/>
      <c r="BK58" s="6"/>
    </row>
    <row r="59" spans="2:63" s="1" customFormat="1">
      <c r="C59" s="25" t="s">
        <v>60</v>
      </c>
      <c r="D59" s="26"/>
      <c r="E59" s="69">
        <v>3</v>
      </c>
      <c r="F59" s="70"/>
      <c r="G59" s="1" t="s">
        <v>130</v>
      </c>
      <c r="J59" s="3"/>
      <c r="AK59" s="6"/>
      <c r="AL59" s="6"/>
      <c r="AM59" s="6"/>
      <c r="AN59" s="6"/>
      <c r="AO59" s="6"/>
      <c r="AP59" s="6"/>
      <c r="AQ59" s="6"/>
      <c r="AS59" s="6"/>
      <c r="AT59" s="6"/>
      <c r="AU59" s="6"/>
      <c r="AV59" s="6"/>
      <c r="AW59" s="6"/>
      <c r="AX59" s="6"/>
      <c r="AY59" s="6"/>
      <c r="AZ59" s="6"/>
      <c r="BA59" s="6"/>
      <c r="BB59" s="6"/>
      <c r="BC59" s="6"/>
      <c r="BD59" s="6"/>
      <c r="BE59" s="6"/>
      <c r="BF59" s="6"/>
      <c r="BG59" s="6"/>
      <c r="BH59" s="6"/>
      <c r="BI59" s="6"/>
      <c r="BJ59" s="6"/>
      <c r="BK59" s="6"/>
    </row>
    <row r="60" spans="2:63" s="1" customFormat="1" ht="24.4" customHeight="1">
      <c r="C60" s="17" t="s">
        <v>63</v>
      </c>
      <c r="D60" s="18"/>
      <c r="E60" s="69">
        <v>4000</v>
      </c>
      <c r="F60" s="70" t="s">
        <v>21</v>
      </c>
      <c r="G60" s="1" t="s">
        <v>131</v>
      </c>
      <c r="J60" s="3"/>
      <c r="AK60" s="6"/>
      <c r="AL60" s="6"/>
      <c r="AM60" s="6"/>
      <c r="AN60" s="6"/>
      <c r="AO60" s="6"/>
      <c r="AP60" s="6"/>
      <c r="AQ60" s="6"/>
      <c r="AS60" s="6"/>
      <c r="AT60" s="6"/>
      <c r="AU60" s="6"/>
      <c r="AV60" s="6"/>
      <c r="AW60" s="6"/>
      <c r="AX60" s="6"/>
      <c r="AY60" s="6"/>
      <c r="AZ60" s="6"/>
      <c r="BA60" s="6"/>
      <c r="BB60" s="6"/>
      <c r="BC60" s="6"/>
      <c r="BD60" s="6"/>
      <c r="BE60" s="6"/>
      <c r="BF60" s="6"/>
      <c r="BG60" s="6"/>
      <c r="BH60" s="6"/>
      <c r="BI60" s="6"/>
      <c r="BJ60" s="6"/>
      <c r="BK60" s="6"/>
    </row>
    <row r="61" spans="2:63" s="1" customFormat="1" ht="14.4">
      <c r="C61" s="25" t="s">
        <v>132</v>
      </c>
      <c r="D61" s="26"/>
      <c r="E61" s="82">
        <f>(E60/E33)*(1-(0.5/(E59*0.21)))</f>
        <v>4.3671789703535739E-2</v>
      </c>
      <c r="F61" s="70"/>
      <c r="I61" s="3"/>
      <c r="J61" s="3"/>
      <c r="K61" s="3"/>
      <c r="L61" s="3"/>
      <c r="AK61" s="6"/>
      <c r="AL61" s="6"/>
      <c r="AM61" s="6"/>
      <c r="AN61" s="6"/>
      <c r="AO61" s="6"/>
      <c r="AP61" s="6"/>
      <c r="AQ61" s="6"/>
      <c r="AS61" s="6"/>
      <c r="AT61" s="6"/>
      <c r="AU61" s="6"/>
      <c r="AV61" s="6"/>
      <c r="AW61" s="6"/>
      <c r="AX61" s="6"/>
      <c r="AY61" s="6"/>
      <c r="AZ61" s="6"/>
      <c r="BA61" s="6"/>
      <c r="BB61" s="6"/>
      <c r="BC61" s="6"/>
      <c r="BD61" s="6"/>
      <c r="BE61" s="6"/>
      <c r="BF61" s="6"/>
      <c r="BG61" s="6"/>
      <c r="BH61" s="6"/>
      <c r="BI61" s="6"/>
      <c r="BJ61" s="6"/>
      <c r="BK61" s="6"/>
    </row>
    <row r="62" spans="2:63" s="1" customFormat="1" ht="76" customHeight="1">
      <c r="C62" s="83" t="s">
        <v>133</v>
      </c>
      <c r="D62" s="83"/>
      <c r="E62" s="83"/>
      <c r="F62" s="83"/>
      <c r="G62" s="84"/>
      <c r="J62" s="3"/>
      <c r="K62" s="3"/>
      <c r="AJ62" s="3"/>
      <c r="AK62" s="3"/>
      <c r="AL62" s="3"/>
      <c r="AM62" s="6"/>
      <c r="AN62" s="6"/>
      <c r="AO62" s="6"/>
      <c r="AP62" s="6"/>
      <c r="AQ62" s="6"/>
      <c r="AS62" s="6"/>
      <c r="AT62" s="6"/>
      <c r="AU62" s="6"/>
      <c r="AV62" s="6"/>
      <c r="AW62" s="6"/>
      <c r="AX62" s="6"/>
      <c r="AY62" s="6"/>
      <c r="AZ62" s="6"/>
      <c r="BA62" s="6"/>
      <c r="BB62" s="6"/>
      <c r="BC62" s="6"/>
      <c r="BD62" s="6"/>
      <c r="BE62" s="6"/>
      <c r="BF62" s="6"/>
      <c r="BG62" s="6"/>
      <c r="BH62" s="6"/>
      <c r="BI62" s="6"/>
      <c r="BJ62" s="6"/>
      <c r="BK62" s="6"/>
    </row>
    <row r="63" spans="2:63" s="1" customFormat="1" ht="13.8">
      <c r="B63" s="1" t="s">
        <v>134</v>
      </c>
      <c r="C63" s="66" t="s">
        <v>59</v>
      </c>
      <c r="G63" s="84"/>
      <c r="J63" s="3"/>
      <c r="K63" s="3"/>
      <c r="L63" s="3"/>
      <c r="AJ63" s="3"/>
      <c r="AK63" s="3"/>
      <c r="AL63" s="3"/>
      <c r="AM63" s="6"/>
      <c r="AN63" s="6"/>
      <c r="AO63" s="6"/>
      <c r="AP63" s="6"/>
      <c r="AQ63" s="6"/>
      <c r="AS63" s="6"/>
      <c r="AT63" s="6"/>
      <c r="AU63" s="6"/>
      <c r="AV63" s="6"/>
      <c r="AW63" s="6"/>
      <c r="AX63" s="6"/>
      <c r="AY63" s="6"/>
      <c r="AZ63" s="6"/>
      <c r="BA63" s="6"/>
      <c r="BB63" s="6"/>
      <c r="BC63" s="6"/>
      <c r="BD63" s="6"/>
      <c r="BE63" s="6"/>
      <c r="BF63" s="6"/>
      <c r="BG63" s="6"/>
      <c r="BH63" s="6"/>
      <c r="BI63" s="6"/>
      <c r="BJ63" s="6"/>
      <c r="BK63" s="6"/>
    </row>
    <row r="64" spans="2:63" s="1" customFormat="1" ht="18.399999999999999" customHeight="1">
      <c r="C64" s="85" t="s">
        <v>135</v>
      </c>
      <c r="D64" s="86"/>
      <c r="E64" s="86"/>
      <c r="F64" s="87"/>
      <c r="G64" s="84"/>
      <c r="J64" s="3"/>
      <c r="K64" s="3"/>
      <c r="L64" s="3"/>
      <c r="AJ64" s="3"/>
      <c r="AK64" s="3"/>
      <c r="AL64" s="3"/>
      <c r="AM64" s="6"/>
      <c r="AN64" s="6"/>
      <c r="AO64" s="6"/>
      <c r="AP64" s="6"/>
      <c r="AQ64" s="6"/>
      <c r="AS64" s="6"/>
      <c r="AT64" s="6"/>
      <c r="AU64" s="6"/>
      <c r="AV64" s="6"/>
      <c r="AW64" s="6"/>
      <c r="AX64" s="6"/>
      <c r="AY64" s="6"/>
      <c r="AZ64" s="6"/>
      <c r="BA64" s="6"/>
      <c r="BB64" s="6"/>
      <c r="BC64" s="6"/>
      <c r="BD64" s="6"/>
      <c r="BE64" s="6"/>
      <c r="BF64" s="6"/>
      <c r="BG64" s="6"/>
      <c r="BH64" s="6"/>
      <c r="BI64" s="6"/>
      <c r="BJ64" s="6"/>
      <c r="BK64" s="6"/>
    </row>
    <row r="65" spans="2:63" s="1" customFormat="1" ht="12.4" customHeight="1">
      <c r="C65" s="1" t="str">
        <f>IF(C64=AP66,AP67,"")</f>
        <v/>
      </c>
      <c r="D65" s="88"/>
      <c r="E65" s="88"/>
      <c r="F65" s="88"/>
      <c r="G65" s="88"/>
      <c r="J65" s="3"/>
      <c r="K65" s="3"/>
      <c r="L65" s="3"/>
      <c r="AC65" s="3"/>
      <c r="AD65" s="3"/>
      <c r="AE65" s="3"/>
      <c r="AF65" s="3"/>
      <c r="AG65" s="3"/>
      <c r="AH65" s="3"/>
      <c r="AI65" s="3"/>
      <c r="AJ65" s="3"/>
      <c r="AK65" s="3"/>
      <c r="AL65" s="3"/>
      <c r="AN65" s="3"/>
      <c r="AO65" s="6"/>
      <c r="AP65" s="6" t="s">
        <v>135</v>
      </c>
      <c r="AQ65" s="6"/>
      <c r="AS65" s="6"/>
      <c r="AT65" s="6"/>
      <c r="AU65" s="6"/>
      <c r="AV65" s="6"/>
      <c r="AW65" s="6"/>
      <c r="AX65" s="6"/>
      <c r="AY65" s="6"/>
      <c r="AZ65" s="6"/>
      <c r="BA65" s="6"/>
      <c r="BB65" s="6"/>
      <c r="BC65" s="6"/>
      <c r="BD65" s="6"/>
      <c r="BE65" s="6"/>
      <c r="BF65" s="6"/>
      <c r="BG65" s="6"/>
      <c r="BH65" s="6"/>
      <c r="BI65" s="6"/>
      <c r="BJ65" s="6"/>
      <c r="BK65" s="6"/>
    </row>
    <row r="66" spans="2:63" s="1" customFormat="1">
      <c r="B66" s="1" t="s">
        <v>136</v>
      </c>
      <c r="C66" s="3" t="s">
        <v>137</v>
      </c>
      <c r="J66" s="3"/>
      <c r="K66" s="3"/>
      <c r="L66" s="3"/>
      <c r="M66" s="3"/>
      <c r="N66" s="3"/>
      <c r="AC66" s="3"/>
      <c r="AD66" s="3"/>
      <c r="AE66" s="3"/>
      <c r="AF66" s="3"/>
      <c r="AG66" s="3"/>
      <c r="AH66" s="3"/>
      <c r="AI66" s="3"/>
      <c r="AJ66" s="3"/>
      <c r="AK66" s="3"/>
      <c r="AL66" s="3"/>
      <c r="AN66" s="3"/>
      <c r="AO66" s="6"/>
      <c r="AP66" s="6" t="s">
        <v>138</v>
      </c>
      <c r="AQ66" s="6"/>
      <c r="AS66" s="6"/>
      <c r="AT66" s="6"/>
      <c r="AU66" s="6"/>
      <c r="AV66" s="6"/>
      <c r="AW66" s="6"/>
      <c r="AX66" s="6"/>
      <c r="AY66" s="6"/>
      <c r="AZ66" s="6"/>
      <c r="BA66" s="6"/>
      <c r="BB66" s="6"/>
      <c r="BC66" s="6"/>
      <c r="BD66" s="6"/>
      <c r="BE66" s="6"/>
      <c r="BF66" s="6"/>
      <c r="BG66" s="6"/>
      <c r="BH66" s="6"/>
      <c r="BI66" s="6"/>
      <c r="BJ66" s="6"/>
      <c r="BK66" s="6"/>
    </row>
    <row r="67" spans="2:63" s="1" customFormat="1" ht="14.4">
      <c r="C67" s="89" t="s">
        <v>137</v>
      </c>
      <c r="D67" s="90"/>
      <c r="E67" s="91">
        <v>0.02</v>
      </c>
      <c r="H67" s="3"/>
      <c r="I67" s="3"/>
      <c r="J67" s="3"/>
      <c r="K67" s="3"/>
      <c r="L67" s="92"/>
      <c r="M67" s="93" t="s">
        <v>139</v>
      </c>
      <c r="O67" s="94" t="s">
        <v>140</v>
      </c>
      <c r="P67" s="95"/>
      <c r="Q67" s="95"/>
      <c r="R67" s="95"/>
      <c r="S67" s="95"/>
      <c r="T67" s="96"/>
      <c r="AC67" s="3"/>
      <c r="AD67" s="3"/>
      <c r="AE67" s="3"/>
      <c r="AF67" s="3"/>
      <c r="AG67" s="3"/>
      <c r="AH67" s="3"/>
      <c r="AI67" s="3"/>
      <c r="AJ67" s="3"/>
      <c r="AK67" s="3"/>
      <c r="AL67" s="3"/>
      <c r="AN67" s="3"/>
      <c r="AO67" s="6"/>
      <c r="AP67" s="6" t="str">
        <f>CONCATENATE("Von 15% EE Anforderung; sind nur noch ",(15-(15*(1/6)))," % erforderlich.")</f>
        <v>Von 15% EE Anforderung; sind nur noch 12,5 % erforderlich.</v>
      </c>
      <c r="AQ67" s="6"/>
      <c r="AR67" s="97"/>
      <c r="AS67" s="6"/>
      <c r="AT67" s="6"/>
      <c r="AU67" s="6"/>
      <c r="AV67" s="6"/>
      <c r="AW67" s="6"/>
      <c r="AX67" s="6"/>
      <c r="AY67" s="6"/>
      <c r="AZ67" s="6"/>
      <c r="BA67" s="6"/>
      <c r="BB67" s="6"/>
      <c r="BC67" s="6"/>
      <c r="BD67" s="6"/>
      <c r="BE67" s="6"/>
      <c r="BF67" s="6"/>
      <c r="BG67" s="6"/>
      <c r="BH67" s="6"/>
      <c r="BI67" s="6"/>
      <c r="BJ67" s="6"/>
      <c r="BK67" s="6"/>
    </row>
    <row r="68" spans="2:63" s="1" customFormat="1" ht="37.9" customHeight="1">
      <c r="B68" s="78" t="s">
        <v>141</v>
      </c>
      <c r="H68" s="3"/>
      <c r="I68" s="3"/>
      <c r="J68" s="3"/>
      <c r="K68" s="3"/>
      <c r="L68" s="98" t="s">
        <v>142</v>
      </c>
      <c r="M68" s="98" t="s">
        <v>143</v>
      </c>
      <c r="O68" s="99" t="s">
        <v>144</v>
      </c>
      <c r="P68" s="100" t="s">
        <v>145</v>
      </c>
      <c r="Q68" s="98" t="s">
        <v>146</v>
      </c>
      <c r="R68" s="98"/>
      <c r="S68" s="98" t="s">
        <v>147</v>
      </c>
      <c r="T68" s="100" t="s">
        <v>148</v>
      </c>
      <c r="AC68" s="3"/>
      <c r="AD68" s="3"/>
      <c r="AE68" s="3"/>
      <c r="AF68" s="3"/>
      <c r="AG68" s="3"/>
      <c r="AH68" s="3"/>
      <c r="AI68" s="3"/>
      <c r="AJ68" s="3"/>
      <c r="AK68" s="3"/>
      <c r="AL68" s="3"/>
      <c r="AN68" s="3"/>
      <c r="AO68" s="6"/>
      <c r="AP68" s="6"/>
      <c r="AQ68" s="6"/>
      <c r="AR68" s="101"/>
      <c r="AS68" s="6"/>
      <c r="AT68" s="6"/>
      <c r="AU68" s="6"/>
      <c r="AV68" s="6"/>
      <c r="AW68" s="6"/>
      <c r="AX68" s="6"/>
      <c r="AY68" s="6"/>
      <c r="AZ68" s="6"/>
      <c r="BA68" s="6"/>
      <c r="BB68" s="6"/>
      <c r="BC68" s="6"/>
      <c r="BD68" s="6"/>
      <c r="BE68" s="6"/>
      <c r="BF68" s="6"/>
      <c r="BG68" s="6"/>
      <c r="BH68" s="6"/>
      <c r="BI68" s="6"/>
      <c r="BJ68" s="6"/>
      <c r="BK68" s="6"/>
    </row>
    <row r="69" spans="2:63" s="1" customFormat="1" ht="14.4">
      <c r="B69" s="3"/>
      <c r="C69" s="102" t="s">
        <v>149</v>
      </c>
      <c r="D69" s="103"/>
      <c r="E69" s="104"/>
      <c r="F69" s="105" t="s">
        <v>23</v>
      </c>
      <c r="G69" s="106">
        <f>IF(F69=AY8,15-(15*(1/6)),15)</f>
        <v>15</v>
      </c>
      <c r="H69" s="107"/>
      <c r="I69" s="108"/>
      <c r="J69" s="108"/>
      <c r="K69" s="109"/>
      <c r="L69" s="110">
        <v>2000</v>
      </c>
      <c r="M69" s="110">
        <f>L69*0.2</f>
        <v>400</v>
      </c>
      <c r="N69" s="108"/>
      <c r="O69" s="111">
        <f>ROUND(L69/650,0)</f>
        <v>3</v>
      </c>
      <c r="P69" s="111">
        <f>ROUND(L69/100,0)</f>
        <v>20</v>
      </c>
      <c r="Q69" s="111">
        <f>ROUND(L69/250,0)</f>
        <v>8</v>
      </c>
      <c r="R69" s="111"/>
      <c r="S69" s="111">
        <f>ROUND(L69/60,0)</f>
        <v>33</v>
      </c>
      <c r="T69" s="112">
        <f>ROUND(L69/30,0)</f>
        <v>67</v>
      </c>
      <c r="AC69" s="3"/>
      <c r="AD69" s="3"/>
      <c r="AE69" s="3"/>
      <c r="AF69" s="3"/>
      <c r="AG69" s="3"/>
      <c r="AH69" s="3"/>
      <c r="AI69" s="3"/>
      <c r="AJ69" s="3"/>
      <c r="AK69" s="3"/>
      <c r="AL69" s="3"/>
      <c r="AN69" s="3"/>
      <c r="AR69" s="113"/>
    </row>
    <row r="70" spans="2:63" s="1" customFormat="1" ht="33.4" customHeight="1">
      <c r="B70" s="3"/>
      <c r="C70" s="114" t="s">
        <v>150</v>
      </c>
      <c r="D70" s="115"/>
      <c r="E70" s="116"/>
      <c r="F70" s="105" t="s">
        <v>23</v>
      </c>
      <c r="G70" s="117">
        <f>IF(F70=AY8,CONCATENATE("Keine weiteren Anforderungen bei kleiner 50kW Heizleistung"),0)</f>
        <v>0</v>
      </c>
      <c r="H70" s="118"/>
      <c r="I70" s="118"/>
      <c r="J70" s="118"/>
      <c r="K70" s="119"/>
      <c r="L70" s="120">
        <f>((E33*0.06)*1.3)-(E33*0.06)</f>
        <v>340.20000000000005</v>
      </c>
      <c r="M70" s="120">
        <f>L70</f>
        <v>340.20000000000005</v>
      </c>
      <c r="N70" s="108"/>
      <c r="O70" s="111">
        <f>ROUND(L70/650,0)</f>
        <v>1</v>
      </c>
      <c r="P70" s="111">
        <f>ROUND(L70/100,0)</f>
        <v>3</v>
      </c>
      <c r="Q70" s="111">
        <f>ROUND(L70/250,0)</f>
        <v>1</v>
      </c>
      <c r="R70" s="111"/>
      <c r="S70" s="111">
        <f>ROUND(L70/60,0)</f>
        <v>6</v>
      </c>
      <c r="T70" s="112">
        <f>ROUND(L70/30,0)</f>
        <v>11</v>
      </c>
      <c r="U70" s="121" t="s">
        <v>151</v>
      </c>
      <c r="V70" s="3"/>
      <c r="W70" s="3"/>
      <c r="X70" s="3"/>
      <c r="Y70" s="3"/>
      <c r="Z70" s="3"/>
      <c r="AA70" s="3"/>
      <c r="AB70" s="3"/>
      <c r="AC70" s="3"/>
      <c r="AD70" s="3"/>
      <c r="AE70" s="3"/>
      <c r="AF70" s="3"/>
      <c r="AG70" s="3"/>
      <c r="AH70" s="3"/>
      <c r="AI70" s="3"/>
      <c r="AJ70" s="3"/>
      <c r="AK70" s="3"/>
      <c r="AL70" s="3"/>
      <c r="AN70" s="3"/>
      <c r="AR70" s="113"/>
    </row>
    <row r="71" spans="2:63" s="1" customFormat="1" ht="33.4" customHeight="1">
      <c r="B71" s="3"/>
      <c r="C71" s="114" t="str">
        <f>CONCATENATE("HmbKliSchG §17 (2) Solar: min. ",ROUND(E25,1)," m² / ", ROUND(E26,1)," m² vorgesehen / vorhanden")</f>
        <v>HmbKliSchG §17 (2) Solar: min. 4,9 m² / 6,5 m² vorgesehen / vorhanden</v>
      </c>
      <c r="D71" s="115"/>
      <c r="E71" s="116"/>
      <c r="F71" s="122" t="s">
        <v>23</v>
      </c>
      <c r="G71" s="117">
        <f>IF(F71=AY8,CONCATENATE("Keine weiteren Anforderungen bei ",E25,"",F25," (max zwei Wohneinheiten) oder",E26," ",F26,"mehr als zwei WE"),0)</f>
        <v>0</v>
      </c>
      <c r="H71" s="118"/>
      <c r="I71" s="118"/>
      <c r="J71" s="118"/>
      <c r="K71" s="119"/>
      <c r="L71" s="120">
        <v>8000</v>
      </c>
      <c r="M71" s="120">
        <f>IF(F69=AY8,L71*0.65,L71*0.7)</f>
        <v>5600</v>
      </c>
      <c r="N71" s="108"/>
      <c r="O71" s="111">
        <f>ROUND(L71/650,0)</f>
        <v>12</v>
      </c>
      <c r="P71" s="111">
        <f>ROUND(L71/100,0)</f>
        <v>80</v>
      </c>
      <c r="Q71" s="111">
        <f>ROUND(L71/250,0)</f>
        <v>32</v>
      </c>
      <c r="R71" s="111"/>
      <c r="S71" s="111">
        <f>ROUND(L71/60,0)</f>
        <v>133</v>
      </c>
      <c r="T71" s="112">
        <f>ROUND(L71/30,0)</f>
        <v>267</v>
      </c>
      <c r="AC71" s="3"/>
      <c r="AD71" s="3"/>
      <c r="AE71" s="3"/>
      <c r="AF71" s="3"/>
      <c r="AG71" s="3"/>
      <c r="AH71" s="3"/>
      <c r="AI71" s="3"/>
      <c r="AJ71" s="3"/>
      <c r="AK71" s="3"/>
      <c r="AL71" s="3"/>
      <c r="AN71" s="3"/>
      <c r="AR71" s="113"/>
    </row>
    <row r="72" spans="2:63" s="1" customFormat="1" ht="14.4">
      <c r="B72" s="3"/>
      <c r="C72" s="102" t="str">
        <f>CONCATENATE( "DV § 6 (3) WP Strom und anderer Erzeuger ",G32)</f>
        <v>DV § 6 (3) WP Strom und anderer Erzeuger Deckungsgrad 42%</v>
      </c>
      <c r="D72" s="103"/>
      <c r="E72" s="104"/>
      <c r="F72" s="105" t="s">
        <v>23</v>
      </c>
      <c r="G72" s="106">
        <f>IF(F72=AY8,E34*100,0)</f>
        <v>0</v>
      </c>
      <c r="H72" s="107"/>
      <c r="I72" s="108"/>
      <c r="J72" s="108"/>
      <c r="K72" s="109"/>
      <c r="L72" s="110">
        <v>16000</v>
      </c>
      <c r="M72" s="110">
        <f>IF(F69=AY8,L72*0.6,L72*0.65)</f>
        <v>10400</v>
      </c>
      <c r="N72" s="108"/>
      <c r="O72" s="111">
        <f>ROUND(L72/650,0)</f>
        <v>25</v>
      </c>
      <c r="P72" s="111">
        <f>ROUND(L72/100,0)</f>
        <v>160</v>
      </c>
      <c r="Q72" s="111">
        <f>ROUND(L72/250,0)</f>
        <v>64</v>
      </c>
      <c r="R72" s="111"/>
      <c r="S72" s="111">
        <f>ROUND(L72/60,0)</f>
        <v>267</v>
      </c>
      <c r="T72" s="112">
        <f>ROUND(L72/30,0)</f>
        <v>533</v>
      </c>
      <c r="AC72" s="3"/>
      <c r="AD72" s="3"/>
      <c r="AE72" s="3"/>
      <c r="AF72" s="3"/>
      <c r="AG72" s="3"/>
      <c r="AH72" s="3"/>
      <c r="AI72" s="3"/>
      <c r="AJ72" s="3"/>
      <c r="AK72" s="3"/>
      <c r="AL72" s="3"/>
      <c r="AN72" s="3"/>
      <c r="AR72" s="113"/>
    </row>
    <row r="73" spans="2:63" s="1" customFormat="1" ht="14.4">
      <c r="B73" s="3"/>
      <c r="C73" s="102" t="str">
        <f>CONCATENATE("DV § 10 (4)  WP Gas und anderer Erzeuger ",G40)</f>
        <v>DV § 10 (4)  WP Gas und anderer Erzeuger Deckungsgrad 77%</v>
      </c>
      <c r="D73" s="103"/>
      <c r="E73" s="104"/>
      <c r="F73" s="105" t="s">
        <v>23</v>
      </c>
      <c r="G73" s="106">
        <f>IF(F73=AY8,E42*100,0)</f>
        <v>0</v>
      </c>
      <c r="H73" s="107"/>
      <c r="I73" s="108"/>
      <c r="J73" s="108"/>
      <c r="K73" s="109"/>
      <c r="L73" s="110">
        <v>24000</v>
      </c>
      <c r="M73" s="110">
        <f>IF(F69=AY8,L73*0.6,L73*0.65)</f>
        <v>15600</v>
      </c>
      <c r="N73" s="108"/>
      <c r="O73" s="111">
        <f>ROUND(L73/650,0)</f>
        <v>37</v>
      </c>
      <c r="P73" s="111">
        <f>ROUND(L73/100,0)</f>
        <v>240</v>
      </c>
      <c r="Q73" s="111">
        <f>ROUND(L73/250,0)</f>
        <v>96</v>
      </c>
      <c r="R73" s="111"/>
      <c r="S73" s="111">
        <f>ROUND(L73/60,0)</f>
        <v>400</v>
      </c>
      <c r="T73" s="112">
        <f>ROUND(L73/30,0)</f>
        <v>800</v>
      </c>
      <c r="AC73" s="3"/>
      <c r="AD73" s="3"/>
      <c r="AE73" s="3"/>
      <c r="AF73" s="3"/>
      <c r="AG73" s="3"/>
      <c r="AH73" s="3"/>
      <c r="AI73" s="3"/>
      <c r="AJ73" s="3"/>
      <c r="AK73" s="3"/>
      <c r="AL73" s="3"/>
      <c r="AN73" s="3"/>
      <c r="AR73" s="113"/>
    </row>
    <row r="74" spans="2:63" s="1" customFormat="1" ht="14.4">
      <c r="B74" s="3"/>
      <c r="C74" s="102" t="s">
        <v>152</v>
      </c>
      <c r="D74" s="103"/>
      <c r="E74" s="104"/>
      <c r="F74" s="105" t="s">
        <v>23</v>
      </c>
      <c r="G74" s="123">
        <f>IF(F74=AY8,E61*100,0)</f>
        <v>0</v>
      </c>
      <c r="H74" s="124"/>
      <c r="I74" s="3"/>
      <c r="J74" s="3"/>
      <c r="K74" s="3"/>
      <c r="L74" s="125"/>
      <c r="M74" s="126" t="s">
        <v>153</v>
      </c>
      <c r="O74" s="111">
        <f>0.23*P74</f>
        <v>43.911331111684603</v>
      </c>
      <c r="P74" s="111">
        <f>SQRT(E24)*2.5*4*1.5</f>
        <v>190.91883092036784</v>
      </c>
      <c r="Q74" s="111">
        <f>(SQRT(E24)^2+SQRT(E24)^2)*2</f>
        <v>648</v>
      </c>
      <c r="R74" s="111"/>
      <c r="S74" s="111">
        <f>SQRT(E24)*SQRT(E24)</f>
        <v>162</v>
      </c>
      <c r="T74" s="112">
        <v>107.12142642814277</v>
      </c>
      <c r="AC74" s="3"/>
      <c r="AD74" s="3"/>
      <c r="AE74" s="3"/>
      <c r="AF74" s="3"/>
      <c r="AG74" s="3"/>
      <c r="AH74" s="3"/>
      <c r="AI74" s="3"/>
      <c r="AJ74" s="3"/>
      <c r="AK74" s="3"/>
      <c r="AL74" s="3"/>
      <c r="AN74" s="3"/>
      <c r="AR74" s="113"/>
    </row>
    <row r="75" spans="2:63" s="1" customFormat="1" ht="14.4">
      <c r="B75" s="3"/>
      <c r="C75" s="102" t="s">
        <v>154</v>
      </c>
      <c r="D75" s="103"/>
      <c r="E75" s="104"/>
      <c r="F75" s="127" t="s">
        <v>19</v>
      </c>
      <c r="G75" s="123">
        <f>IF(F75=AY8,E67*100,0)</f>
        <v>2</v>
      </c>
      <c r="H75" s="124"/>
      <c r="I75" s="3"/>
      <c r="J75" s="3"/>
      <c r="K75" s="3"/>
      <c r="M75" s="128"/>
      <c r="N75" s="128"/>
      <c r="O75" s="128"/>
      <c r="P75" s="128"/>
      <c r="Q75" s="128"/>
      <c r="R75" s="128"/>
      <c r="S75" s="128"/>
      <c r="T75" s="128"/>
      <c r="U75" s="113"/>
      <c r="AE75" s="3"/>
      <c r="AF75" s="3"/>
      <c r="AG75" s="3"/>
      <c r="AR75" s="128"/>
    </row>
    <row r="76" spans="2:63" s="1" customFormat="1" ht="22.5" customHeight="1">
      <c r="C76" s="129" t="str">
        <f>IF(G76&lt;0.01,"Anforderung vermutlich erfüllt"," Anforderung vermutlich nicht erfüllt")</f>
        <v xml:space="preserve"> Anforderung vermutlich nicht erfüllt</v>
      </c>
      <c r="D76" s="129"/>
      <c r="E76" s="129"/>
      <c r="F76" s="129"/>
      <c r="G76" s="124">
        <f>IF(OR(F70=AY8,F71=AY8),-15,G69-G72-G73-G74-G75)</f>
        <v>13</v>
      </c>
      <c r="H76" s="124"/>
      <c r="I76" s="3"/>
      <c r="L76" s="3"/>
      <c r="M76" s="3"/>
      <c r="O76" s="3"/>
      <c r="P76" s="3"/>
      <c r="Q76" s="64"/>
      <c r="R76" s="64"/>
      <c r="S76" s="3"/>
      <c r="T76" s="3"/>
      <c r="U76" s="3"/>
      <c r="V76" s="3"/>
      <c r="W76" s="3"/>
      <c r="X76" s="3"/>
      <c r="Y76" s="3"/>
      <c r="Z76" s="3"/>
      <c r="AA76" s="3"/>
      <c r="AB76" s="3"/>
      <c r="AE76" s="3"/>
      <c r="AF76" s="3"/>
      <c r="AG76" s="3"/>
      <c r="AR76" s="64"/>
    </row>
    <row r="77" spans="2:63" s="72" customFormat="1" ht="22.5" customHeight="1">
      <c r="D77" s="130"/>
      <c r="E77" s="130"/>
      <c r="F77" s="130"/>
      <c r="G77" s="131"/>
      <c r="H77" s="131"/>
      <c r="I77" s="132"/>
      <c r="L77" s="132"/>
      <c r="M77" s="132"/>
      <c r="O77" s="132"/>
      <c r="P77" s="132"/>
      <c r="Q77" s="133"/>
      <c r="R77" s="133"/>
      <c r="S77" s="132"/>
      <c r="T77" s="132"/>
      <c r="U77" s="132"/>
      <c r="V77" s="132"/>
      <c r="W77" s="132"/>
      <c r="X77" s="132"/>
      <c r="Y77" s="132"/>
      <c r="Z77" s="132"/>
      <c r="AA77" s="132"/>
      <c r="AB77" s="132"/>
      <c r="AE77" s="132"/>
      <c r="AF77" s="132"/>
      <c r="AG77" s="132"/>
      <c r="AR77" s="133"/>
    </row>
    <row r="78" spans="2:63" s="1" customFormat="1" ht="12.6" customHeight="1">
      <c r="D78" s="134"/>
      <c r="E78" s="134"/>
      <c r="F78" s="134"/>
      <c r="G78" s="135"/>
      <c r="H78" s="135"/>
      <c r="I78" s="3"/>
      <c r="L78" s="3"/>
      <c r="M78" s="3"/>
      <c r="O78" s="3"/>
      <c r="P78" s="3"/>
      <c r="Q78" s="64"/>
      <c r="R78" s="64"/>
      <c r="S78" s="3"/>
      <c r="T78" s="3"/>
      <c r="U78" s="3"/>
      <c r="V78" s="3"/>
      <c r="W78" s="3"/>
      <c r="X78" s="3"/>
      <c r="Y78" s="3"/>
      <c r="Z78" s="3"/>
      <c r="AA78" s="3"/>
      <c r="AB78" s="3"/>
      <c r="AE78" s="3"/>
      <c r="AF78" s="3"/>
      <c r="AG78" s="3"/>
      <c r="AR78" s="64"/>
    </row>
    <row r="79" spans="2:63" s="1" customFormat="1" ht="12.6" customHeight="1">
      <c r="C79" s="136" t="s">
        <v>155</v>
      </c>
      <c r="D79" s="137"/>
      <c r="E79" s="137"/>
      <c r="F79" s="137"/>
      <c r="G79" s="137"/>
      <c r="H79" s="137"/>
      <c r="I79" s="137"/>
      <c r="J79" s="137"/>
      <c r="L79" s="3"/>
      <c r="M79" s="3"/>
      <c r="O79" s="3"/>
      <c r="P79" s="3"/>
      <c r="Q79" s="64"/>
      <c r="R79" s="64"/>
      <c r="S79" s="3"/>
      <c r="T79" s="3"/>
      <c r="U79" s="3"/>
      <c r="V79" s="3"/>
      <c r="W79" s="3"/>
      <c r="X79" s="3"/>
      <c r="Y79" s="3"/>
      <c r="Z79" s="3"/>
      <c r="AA79" s="3"/>
      <c r="AB79" s="3"/>
      <c r="AE79" s="3"/>
      <c r="AF79" s="3"/>
      <c r="AG79" s="3"/>
      <c r="AR79" s="64"/>
    </row>
    <row r="80" spans="2:63" s="1" customFormat="1" ht="12.6" customHeight="1">
      <c r="C80" s="138" t="s">
        <v>156</v>
      </c>
      <c r="D80" s="138"/>
      <c r="E80" s="138"/>
      <c r="F80" s="139" t="s">
        <v>157</v>
      </c>
      <c r="G80" s="140" t="s">
        <v>158</v>
      </c>
      <c r="H80" s="141"/>
      <c r="I80" s="142" t="s">
        <v>159</v>
      </c>
      <c r="J80" s="143" t="s">
        <v>160</v>
      </c>
      <c r="K80" s="144" t="s">
        <v>161</v>
      </c>
      <c r="L80" s="145" t="s">
        <v>160</v>
      </c>
      <c r="M80" s="145"/>
      <c r="N80" s="145"/>
      <c r="O80" s="143" t="s">
        <v>162</v>
      </c>
      <c r="P80" s="144" t="s">
        <v>163</v>
      </c>
      <c r="Q80" s="144"/>
      <c r="R80" s="144"/>
      <c r="S80" s="144"/>
      <c r="T80" s="144" t="s">
        <v>164</v>
      </c>
      <c r="U80" s="3"/>
      <c r="V80" s="3"/>
      <c r="W80" s="3"/>
      <c r="X80" s="3"/>
      <c r="Y80" s="3"/>
      <c r="Z80" s="3"/>
      <c r="AA80" s="3"/>
      <c r="AB80" s="3"/>
      <c r="AE80" s="3"/>
      <c r="AF80" s="3"/>
      <c r="AG80" s="3"/>
      <c r="AR80" s="64"/>
    </row>
    <row r="81" spans="3:44" s="1" customFormat="1" ht="12.6" customHeight="1">
      <c r="C81" s="138"/>
      <c r="D81" s="138"/>
      <c r="E81" s="138"/>
      <c r="F81" s="146"/>
      <c r="G81" s="147"/>
      <c r="H81" s="148"/>
      <c r="I81" s="149"/>
      <c r="J81" s="150"/>
      <c r="K81" s="144"/>
      <c r="L81" s="145"/>
      <c r="M81" s="145"/>
      <c r="N81" s="145"/>
      <c r="O81" s="150"/>
      <c r="P81" s="144"/>
      <c r="Q81" s="144"/>
      <c r="R81" s="144"/>
      <c r="S81" s="144"/>
      <c r="T81" s="144"/>
      <c r="U81" s="3"/>
      <c r="V81" s="3"/>
      <c r="W81" s="3"/>
      <c r="X81" s="3"/>
      <c r="Y81" s="3"/>
      <c r="Z81" s="3"/>
      <c r="AA81" s="3"/>
      <c r="AB81" s="3"/>
      <c r="AE81" s="3"/>
      <c r="AF81" s="3"/>
      <c r="AG81" s="3"/>
      <c r="AR81" s="64"/>
    </row>
    <row r="82" spans="3:44" s="1" customFormat="1" ht="12.6" customHeight="1">
      <c r="C82" s="138"/>
      <c r="D82" s="138"/>
      <c r="E82" s="138"/>
      <c r="F82" s="146"/>
      <c r="G82" s="151"/>
      <c r="H82" s="152"/>
      <c r="I82" s="153"/>
      <c r="J82" s="154"/>
      <c r="K82" s="155" t="s">
        <v>165</v>
      </c>
      <c r="L82" s="145"/>
      <c r="M82" s="145"/>
      <c r="N82" s="145"/>
      <c r="O82" s="154"/>
      <c r="P82" s="144"/>
      <c r="Q82" s="144"/>
      <c r="R82" s="144"/>
      <c r="S82" s="144"/>
      <c r="T82" s="144"/>
      <c r="U82" s="3"/>
      <c r="V82" s="3"/>
      <c r="W82" s="3"/>
      <c r="X82" s="3"/>
      <c r="Y82" s="3"/>
      <c r="Z82" s="3"/>
      <c r="AA82" s="3"/>
      <c r="AB82" s="3"/>
      <c r="AE82" s="3"/>
      <c r="AF82" s="3"/>
      <c r="AG82" s="3"/>
      <c r="AR82" s="64"/>
    </row>
    <row r="83" spans="3:44" s="1" customFormat="1" ht="12.6" customHeight="1">
      <c r="C83" s="138"/>
      <c r="D83" s="138"/>
      <c r="E83" s="138"/>
      <c r="F83" s="156"/>
      <c r="G83" s="157" t="s">
        <v>166</v>
      </c>
      <c r="H83" s="157"/>
      <c r="I83" s="158" t="s">
        <v>166</v>
      </c>
      <c r="J83" s="158" t="s">
        <v>166</v>
      </c>
      <c r="K83" s="155"/>
      <c r="L83" s="159" t="s">
        <v>167</v>
      </c>
      <c r="M83" s="159"/>
      <c r="N83" s="159"/>
      <c r="O83" s="160" t="s">
        <v>167</v>
      </c>
      <c r="P83" s="155" t="s">
        <v>168</v>
      </c>
      <c r="Q83" s="155"/>
      <c r="R83" s="155"/>
      <c r="S83" s="155"/>
      <c r="T83" s="159" t="s">
        <v>169</v>
      </c>
      <c r="U83" s="3"/>
      <c r="V83" s="3"/>
      <c r="W83" s="3"/>
      <c r="X83" s="3"/>
      <c r="Y83" s="3"/>
      <c r="Z83" s="3"/>
      <c r="AA83" s="3"/>
      <c r="AB83" s="3"/>
      <c r="AE83" s="3"/>
      <c r="AF83" s="3"/>
      <c r="AG83" s="3"/>
      <c r="AR83" s="64"/>
    </row>
    <row r="84" spans="3:44" s="1" customFormat="1" ht="12.6" customHeight="1">
      <c r="C84" s="138"/>
      <c r="D84" s="138"/>
      <c r="E84" s="138"/>
      <c r="F84" s="161" t="s">
        <v>170</v>
      </c>
      <c r="G84" s="157"/>
      <c r="H84" s="157"/>
      <c r="I84" s="162"/>
      <c r="J84" s="162"/>
      <c r="K84" s="155"/>
      <c r="L84" s="159"/>
      <c r="M84" s="159"/>
      <c r="N84" s="159"/>
      <c r="O84" s="163"/>
      <c r="P84" s="155"/>
      <c r="Q84" s="155"/>
      <c r="R84" s="155"/>
      <c r="S84" s="155"/>
      <c r="T84" s="159"/>
      <c r="U84" s="3"/>
      <c r="V84" s="3"/>
      <c r="W84" s="3"/>
      <c r="X84" s="3"/>
      <c r="Y84" s="3"/>
      <c r="Z84" s="3"/>
      <c r="AA84" s="3"/>
      <c r="AB84" s="3"/>
      <c r="AE84" s="3"/>
      <c r="AF84" s="3"/>
      <c r="AG84" s="3"/>
      <c r="AR84" s="64"/>
    </row>
    <row r="85" spans="3:44" s="1" customFormat="1" ht="12.6" customHeight="1">
      <c r="C85" s="164" t="s">
        <v>171</v>
      </c>
      <c r="D85" s="164"/>
      <c r="E85" s="164"/>
      <c r="F85" s="165" t="s">
        <v>172</v>
      </c>
      <c r="G85" s="166" t="s">
        <v>173</v>
      </c>
      <c r="H85" s="167"/>
      <c r="I85" s="168"/>
      <c r="J85" s="168">
        <v>4</v>
      </c>
      <c r="K85" s="169">
        <v>100</v>
      </c>
      <c r="L85" s="170" t="str">
        <f>CONCATENATE(K85 *(RIGHT(J85,1)/100)," € pro a ;",K85 *(RIGHT(J85,2)/100)*RIGHT(F85,2)," € auf ",RIGHT(F85,2)," a")</f>
        <v>4 € pro a ;80 € auf 20 a</v>
      </c>
      <c r="M85" s="171"/>
      <c r="N85" s="172"/>
      <c r="O85" s="173" t="s">
        <v>174</v>
      </c>
      <c r="P85" s="174" t="str">
        <f>CONCATENATE(K85," € Erst.Kost - ",K85 *(RIGHT(J85,2)/100)*RIGHT(F85,2),"€ Rückl. = ",K85-K85 *(RIGHT(J85,2)/100)*RIGHT(F85,2), " €")</f>
        <v>100 € Erst.Kost - 80€ Rückl. = 20 €</v>
      </c>
      <c r="Q85" s="174"/>
      <c r="R85" s="174"/>
      <c r="S85" s="174"/>
      <c r="T85" s="175">
        <f>(K85-K85 *(RIGHT(J85,2)/100)*RIGHT(F85,2))/-K85</f>
        <v>-0.2</v>
      </c>
      <c r="U85" s="3"/>
      <c r="V85" s="3"/>
      <c r="W85" s="3"/>
      <c r="X85" s="3"/>
      <c r="Y85" s="3"/>
      <c r="Z85" s="3"/>
      <c r="AA85" s="3"/>
      <c r="AB85" s="3"/>
      <c r="AE85" s="3"/>
      <c r="AF85" s="3"/>
      <c r="AG85" s="3"/>
      <c r="AR85" s="64"/>
    </row>
    <row r="86" spans="3:44" s="1" customFormat="1" ht="12.6" customHeight="1">
      <c r="C86" s="164" t="s">
        <v>175</v>
      </c>
      <c r="D86" s="164"/>
      <c r="E86" s="164"/>
      <c r="F86" s="165" t="s">
        <v>176</v>
      </c>
      <c r="G86" s="166">
        <v>0.5</v>
      </c>
      <c r="H86" s="167"/>
      <c r="I86" s="168"/>
      <c r="J86" s="168">
        <v>2</v>
      </c>
      <c r="K86" s="169">
        <v>4000</v>
      </c>
      <c r="L86" s="170" t="str">
        <f t="shared" ref="L86:L109" si="0">CONCATENATE(K86 *(RIGHT(J86,1)/100)," € pro a ;",K86 *(RIGHT(J86,2)/100)*RIGHT(F86,2)," € auf ",RIGHT(F86,2)," a")</f>
        <v>80 € pro a ;2000 € auf 25 a</v>
      </c>
      <c r="M86" s="171"/>
      <c r="N86" s="172"/>
      <c r="O86" s="173" t="s">
        <v>174</v>
      </c>
      <c r="P86" s="174" t="str">
        <f t="shared" ref="P86:P109" si="1">CONCATENATE(K86," € Erst.Kost - ",K86 *(RIGHT(J86,2)/100)*RIGHT(F86,2),"€ Rückl. = ",K86-K86 *(RIGHT(J86,2)/100)*RIGHT(F86,2), " €")</f>
        <v>4000 € Erst.Kost - 2000€ Rückl. = 2000 €</v>
      </c>
      <c r="Q86" s="174"/>
      <c r="R86" s="174"/>
      <c r="S86" s="174"/>
      <c r="T86" s="175">
        <f t="shared" ref="T86:T107" si="2">(K86-K86 *(RIGHT(J86,2)/100)*RIGHT(F86,2))/-K86</f>
        <v>-0.5</v>
      </c>
      <c r="U86" s="3"/>
      <c r="V86" s="3"/>
      <c r="W86" s="3"/>
      <c r="X86" s="3"/>
      <c r="Y86" s="3"/>
      <c r="Z86" s="3"/>
      <c r="AA86" s="3"/>
      <c r="AB86" s="3"/>
      <c r="AE86" s="3"/>
      <c r="AF86" s="3"/>
      <c r="AG86" s="3"/>
      <c r="AR86" s="64"/>
    </row>
    <row r="87" spans="3:44" s="1" customFormat="1" ht="12.6" customHeight="1">
      <c r="C87" s="164" t="s">
        <v>177</v>
      </c>
      <c r="D87" s="164"/>
      <c r="E87" s="164"/>
      <c r="F87" s="165" t="s">
        <v>172</v>
      </c>
      <c r="G87" s="166" t="s">
        <v>178</v>
      </c>
      <c r="H87" s="167"/>
      <c r="I87" s="168"/>
      <c r="J87" s="168">
        <v>2</v>
      </c>
      <c r="K87" s="169">
        <v>20000</v>
      </c>
      <c r="L87" s="170" t="str">
        <f t="shared" si="0"/>
        <v>400 € pro a ;8000 € auf 20 a</v>
      </c>
      <c r="M87" s="171"/>
      <c r="N87" s="172"/>
      <c r="O87" s="173" t="s">
        <v>174</v>
      </c>
      <c r="P87" s="174" t="str">
        <f t="shared" si="1"/>
        <v>20000 € Erst.Kost - 8000€ Rückl. = 12000 €</v>
      </c>
      <c r="Q87" s="174"/>
      <c r="R87" s="174"/>
      <c r="S87" s="174"/>
      <c r="T87" s="175">
        <f t="shared" si="2"/>
        <v>-0.6</v>
      </c>
      <c r="U87" s="3"/>
      <c r="V87" s="3"/>
      <c r="W87" s="3"/>
      <c r="X87" s="3"/>
      <c r="Y87" s="3"/>
      <c r="Z87" s="3"/>
      <c r="AA87" s="3"/>
      <c r="AB87" s="3"/>
      <c r="AE87" s="3"/>
      <c r="AF87" s="3"/>
      <c r="AG87" s="3"/>
      <c r="AR87" s="64"/>
    </row>
    <row r="88" spans="3:44" s="1" customFormat="1" ht="12.6" customHeight="1">
      <c r="C88" s="164" t="s">
        <v>179</v>
      </c>
      <c r="D88" s="164"/>
      <c r="E88" s="164"/>
      <c r="F88" s="165">
        <v>30</v>
      </c>
      <c r="G88" s="166">
        <v>0.5</v>
      </c>
      <c r="H88" s="167"/>
      <c r="I88" s="176" t="s">
        <v>180</v>
      </c>
      <c r="J88" s="168">
        <v>2</v>
      </c>
      <c r="K88" s="169">
        <v>8000</v>
      </c>
      <c r="L88" s="170" t="str">
        <f t="shared" si="0"/>
        <v>160 € pro a ;4800 € auf 30 a</v>
      </c>
      <c r="M88" s="171"/>
      <c r="N88" s="172"/>
      <c r="O88" s="173">
        <v>300</v>
      </c>
      <c r="P88" s="174" t="str">
        <f t="shared" si="1"/>
        <v>8000 € Erst.Kost - 4800€ Rückl. = 3200 €</v>
      </c>
      <c r="Q88" s="174"/>
      <c r="R88" s="174"/>
      <c r="S88" s="174"/>
      <c r="T88" s="175">
        <f t="shared" si="2"/>
        <v>-0.4</v>
      </c>
      <c r="U88" s="3"/>
      <c r="V88" s="3"/>
      <c r="W88" s="3"/>
      <c r="X88" s="3"/>
      <c r="Y88" s="3"/>
      <c r="Z88" s="3"/>
      <c r="AA88" s="3"/>
      <c r="AB88" s="3"/>
      <c r="AE88" s="3"/>
      <c r="AF88" s="3"/>
      <c r="AG88" s="3"/>
      <c r="AR88" s="64"/>
    </row>
    <row r="89" spans="3:44" s="1" customFormat="1" ht="12.6" customHeight="1">
      <c r="C89" s="164" t="s">
        <v>181</v>
      </c>
      <c r="D89" s="164"/>
      <c r="E89" s="164"/>
      <c r="F89" s="165" t="s">
        <v>176</v>
      </c>
      <c r="G89" s="166">
        <v>4</v>
      </c>
      <c r="H89" s="167"/>
      <c r="I89" s="168"/>
      <c r="J89" s="168">
        <v>2</v>
      </c>
      <c r="K89" s="169">
        <v>2000</v>
      </c>
      <c r="L89" s="170" t="str">
        <f t="shared" si="0"/>
        <v>40 € pro a ;1000 € auf 25 a</v>
      </c>
      <c r="M89" s="171"/>
      <c r="N89" s="172"/>
      <c r="O89" s="173" t="s">
        <v>174</v>
      </c>
      <c r="P89" s="174" t="str">
        <f t="shared" si="1"/>
        <v>2000 € Erst.Kost - 1000€ Rückl. = 1000 €</v>
      </c>
      <c r="Q89" s="174"/>
      <c r="R89" s="174"/>
      <c r="S89" s="174"/>
      <c r="T89" s="175">
        <f t="shared" si="2"/>
        <v>-0.5</v>
      </c>
      <c r="U89" s="3"/>
      <c r="V89" s="3"/>
      <c r="W89" s="3"/>
      <c r="X89" s="3"/>
      <c r="Y89" s="3"/>
      <c r="Z89" s="3"/>
      <c r="AA89" s="3"/>
      <c r="AB89" s="3"/>
      <c r="AE89" s="3"/>
      <c r="AF89" s="3"/>
      <c r="AG89" s="3"/>
      <c r="AR89" s="64"/>
    </row>
    <row r="90" spans="3:44" s="1" customFormat="1" ht="12.6" customHeight="1">
      <c r="C90" s="164" t="s">
        <v>182</v>
      </c>
      <c r="D90" s="164"/>
      <c r="E90" s="164"/>
      <c r="F90" s="165" t="s">
        <v>183</v>
      </c>
      <c r="G90" s="166">
        <v>2</v>
      </c>
      <c r="H90" s="167"/>
      <c r="I90" s="168"/>
      <c r="J90" s="168">
        <v>2</v>
      </c>
      <c r="K90" s="169">
        <v>500</v>
      </c>
      <c r="L90" s="170" t="str">
        <f t="shared" si="0"/>
        <v>10 € pro a ;200 € auf 20 a</v>
      </c>
      <c r="M90" s="171"/>
      <c r="N90" s="172"/>
      <c r="O90" s="173" t="s">
        <v>174</v>
      </c>
      <c r="P90" s="174" t="str">
        <f t="shared" si="1"/>
        <v>500 € Erst.Kost - 200€ Rückl. = 300 €</v>
      </c>
      <c r="Q90" s="174"/>
      <c r="R90" s="174"/>
      <c r="S90" s="174"/>
      <c r="T90" s="175">
        <f t="shared" si="2"/>
        <v>-0.6</v>
      </c>
      <c r="U90" s="3"/>
      <c r="V90" s="3"/>
      <c r="W90" s="3"/>
      <c r="X90" s="3"/>
      <c r="Y90" s="3"/>
      <c r="Z90" s="3"/>
      <c r="AA90" s="3"/>
      <c r="AB90" s="3"/>
      <c r="AE90" s="3"/>
      <c r="AF90" s="3"/>
      <c r="AG90" s="3"/>
      <c r="AR90" s="64"/>
    </row>
    <row r="91" spans="3:44" s="1" customFormat="1" ht="12.6" customHeight="1">
      <c r="C91" s="164" t="s">
        <v>184</v>
      </c>
      <c r="D91" s="164"/>
      <c r="E91" s="164"/>
      <c r="F91" s="165" t="s">
        <v>185</v>
      </c>
      <c r="G91" s="166" t="s">
        <v>186</v>
      </c>
      <c r="H91" s="167"/>
      <c r="I91" s="168"/>
      <c r="J91" s="168">
        <v>2</v>
      </c>
      <c r="K91" s="169">
        <v>500</v>
      </c>
      <c r="L91" s="170" t="str">
        <f t="shared" si="0"/>
        <v>10 € pro a ;150 € auf 15 a</v>
      </c>
      <c r="M91" s="171"/>
      <c r="N91" s="172"/>
      <c r="O91" s="173" t="s">
        <v>174</v>
      </c>
      <c r="P91" s="174" t="str">
        <f t="shared" si="1"/>
        <v>500 € Erst.Kost - 150€ Rückl. = 350 €</v>
      </c>
      <c r="Q91" s="174"/>
      <c r="R91" s="174"/>
      <c r="S91" s="174"/>
      <c r="T91" s="175">
        <f t="shared" si="2"/>
        <v>-0.7</v>
      </c>
      <c r="U91" s="3"/>
      <c r="V91" s="3"/>
      <c r="W91" s="3"/>
      <c r="X91" s="3"/>
      <c r="Y91" s="3"/>
      <c r="Z91" s="3"/>
      <c r="AA91" s="3"/>
      <c r="AB91" s="3"/>
      <c r="AE91" s="3"/>
      <c r="AF91" s="3"/>
      <c r="AG91" s="3"/>
      <c r="AR91" s="64"/>
    </row>
    <row r="92" spans="3:44" s="1" customFormat="1" ht="12.6" customHeight="1">
      <c r="C92" s="164" t="s">
        <v>187</v>
      </c>
      <c r="D92" s="164"/>
      <c r="E92" s="164"/>
      <c r="F92" s="165">
        <v>30</v>
      </c>
      <c r="G92" s="166">
        <v>0.5</v>
      </c>
      <c r="H92" s="167"/>
      <c r="I92" s="168"/>
      <c r="J92" s="168">
        <v>2</v>
      </c>
      <c r="K92" s="169">
        <v>4000</v>
      </c>
      <c r="L92" s="170" t="str">
        <f t="shared" si="0"/>
        <v>80 € pro a ;2400 € auf 30 a</v>
      </c>
      <c r="M92" s="171"/>
      <c r="N92" s="172"/>
      <c r="O92" s="173" t="s">
        <v>174</v>
      </c>
      <c r="P92" s="174" t="str">
        <f t="shared" si="1"/>
        <v>4000 € Erst.Kost - 2400€ Rückl. = 1600 €</v>
      </c>
      <c r="Q92" s="174"/>
      <c r="R92" s="174"/>
      <c r="S92" s="174"/>
      <c r="T92" s="175">
        <f t="shared" si="2"/>
        <v>-0.4</v>
      </c>
      <c r="U92" s="3"/>
      <c r="V92" s="3"/>
      <c r="W92" s="3"/>
      <c r="X92" s="3"/>
      <c r="Y92" s="3"/>
      <c r="Z92" s="3"/>
      <c r="AA92" s="3"/>
      <c r="AB92" s="3"/>
      <c r="AE92" s="3"/>
      <c r="AF92" s="3"/>
      <c r="AG92" s="3"/>
      <c r="AR92" s="64"/>
    </row>
    <row r="93" spans="3:44" s="1" customFormat="1" ht="12.6" customHeight="1">
      <c r="C93" s="164" t="s">
        <v>188</v>
      </c>
      <c r="D93" s="164"/>
      <c r="E93" s="164"/>
      <c r="F93" s="165">
        <v>20</v>
      </c>
      <c r="G93" s="166">
        <v>1</v>
      </c>
      <c r="H93" s="167"/>
      <c r="I93" s="168"/>
      <c r="J93" s="168">
        <v>2</v>
      </c>
      <c r="K93" s="169">
        <v>6000</v>
      </c>
      <c r="L93" s="170" t="str">
        <f t="shared" si="0"/>
        <v>120 € pro a ;2400 € auf 20 a</v>
      </c>
      <c r="M93" s="171"/>
      <c r="N93" s="172"/>
      <c r="O93" s="173" t="s">
        <v>174</v>
      </c>
      <c r="P93" s="174" t="str">
        <f t="shared" si="1"/>
        <v>6000 € Erst.Kost - 2400€ Rückl. = 3600 €</v>
      </c>
      <c r="Q93" s="174"/>
      <c r="R93" s="174"/>
      <c r="S93" s="174"/>
      <c r="T93" s="175">
        <f t="shared" si="2"/>
        <v>-0.6</v>
      </c>
      <c r="U93" s="3"/>
      <c r="V93" s="3"/>
      <c r="W93" s="3"/>
      <c r="X93" s="3"/>
      <c r="Y93" s="3"/>
      <c r="Z93" s="3"/>
      <c r="AA93" s="3"/>
      <c r="AB93" s="3"/>
      <c r="AE93" s="3"/>
      <c r="AF93" s="3"/>
      <c r="AG93" s="3"/>
      <c r="AR93" s="64"/>
    </row>
    <row r="94" spans="3:44" s="1" customFormat="1" ht="12.6" customHeight="1">
      <c r="C94" s="164" t="s">
        <v>189</v>
      </c>
      <c r="D94" s="164"/>
      <c r="E94" s="164"/>
      <c r="F94" s="165" t="s">
        <v>190</v>
      </c>
      <c r="G94" s="166" t="s">
        <v>173</v>
      </c>
      <c r="H94" s="167"/>
      <c r="I94" s="168"/>
      <c r="J94" s="168">
        <v>2</v>
      </c>
      <c r="K94" s="169">
        <v>5000</v>
      </c>
      <c r="L94" s="170" t="str">
        <f t="shared" si="0"/>
        <v>100 € pro a ;4000 € auf 40 a</v>
      </c>
      <c r="M94" s="171"/>
      <c r="N94" s="172"/>
      <c r="O94" s="173" t="s">
        <v>174</v>
      </c>
      <c r="P94" s="174" t="str">
        <f t="shared" si="1"/>
        <v>5000 € Erst.Kost - 4000€ Rückl. = 1000 €</v>
      </c>
      <c r="Q94" s="174"/>
      <c r="R94" s="174"/>
      <c r="S94" s="174"/>
      <c r="T94" s="175">
        <f t="shared" si="2"/>
        <v>-0.2</v>
      </c>
      <c r="U94" s="3"/>
      <c r="V94" s="3"/>
      <c r="W94" s="3"/>
      <c r="X94" s="3"/>
      <c r="Y94" s="3"/>
      <c r="Z94" s="3"/>
      <c r="AA94" s="3"/>
      <c r="AB94" s="3"/>
      <c r="AE94" s="3"/>
      <c r="AF94" s="3"/>
      <c r="AG94" s="3"/>
      <c r="AR94" s="64"/>
    </row>
    <row r="95" spans="3:44" s="1" customFormat="1" ht="12.6" customHeight="1">
      <c r="C95" s="164" t="s">
        <v>191</v>
      </c>
      <c r="D95" s="164"/>
      <c r="E95" s="164"/>
      <c r="F95" s="165">
        <v>50</v>
      </c>
      <c r="G95" s="166">
        <v>2</v>
      </c>
      <c r="H95" s="167"/>
      <c r="I95" s="168">
        <v>20</v>
      </c>
      <c r="J95" s="168">
        <v>2</v>
      </c>
      <c r="K95" s="169">
        <v>8000</v>
      </c>
      <c r="L95" s="170" t="str">
        <f t="shared" si="0"/>
        <v>160 € pro a ;8000 € auf 50 a</v>
      </c>
      <c r="M95" s="171"/>
      <c r="N95" s="172"/>
      <c r="O95" s="173">
        <v>12000</v>
      </c>
      <c r="P95" s="174" t="str">
        <f t="shared" si="1"/>
        <v>8000 € Erst.Kost - 8000€ Rückl. = 0 €</v>
      </c>
      <c r="Q95" s="174"/>
      <c r="R95" s="174"/>
      <c r="S95" s="174"/>
      <c r="T95" s="175">
        <f t="shared" si="2"/>
        <v>0</v>
      </c>
      <c r="U95" s="3"/>
      <c r="V95" s="3"/>
      <c r="W95" s="3"/>
      <c r="X95" s="3"/>
      <c r="Y95" s="3"/>
      <c r="Z95" s="3"/>
      <c r="AA95" s="3"/>
      <c r="AB95" s="3"/>
      <c r="AE95" s="3"/>
      <c r="AF95" s="3"/>
      <c r="AG95" s="3"/>
      <c r="AR95" s="64"/>
    </row>
    <row r="96" spans="3:44" s="1" customFormat="1" ht="12.6" customHeight="1">
      <c r="C96" s="164" t="s">
        <v>192</v>
      </c>
      <c r="D96" s="164"/>
      <c r="E96" s="164"/>
      <c r="F96" s="165">
        <v>25</v>
      </c>
      <c r="G96" s="166">
        <v>1</v>
      </c>
      <c r="H96" s="167"/>
      <c r="I96" s="168">
        <v>1</v>
      </c>
      <c r="J96" s="168">
        <v>2</v>
      </c>
      <c r="K96" s="169">
        <v>5000</v>
      </c>
      <c r="L96" s="170" t="str">
        <f t="shared" si="0"/>
        <v>100 € pro a ;2500 € auf 25 a</v>
      </c>
      <c r="M96" s="171"/>
      <c r="N96" s="172"/>
      <c r="O96" s="173">
        <v>50</v>
      </c>
      <c r="P96" s="174" t="str">
        <f t="shared" si="1"/>
        <v>5000 € Erst.Kost - 2500€ Rückl. = 2500 €</v>
      </c>
      <c r="Q96" s="174"/>
      <c r="R96" s="174"/>
      <c r="S96" s="174"/>
      <c r="T96" s="175">
        <f t="shared" si="2"/>
        <v>-0.5</v>
      </c>
      <c r="U96" s="3"/>
      <c r="V96" s="3"/>
      <c r="W96" s="3"/>
      <c r="X96" s="3"/>
      <c r="Y96" s="3"/>
      <c r="Z96" s="3"/>
      <c r="AA96" s="3"/>
      <c r="AB96" s="3"/>
      <c r="AE96" s="3"/>
      <c r="AF96" s="3"/>
      <c r="AG96" s="3"/>
      <c r="AR96" s="64"/>
    </row>
    <row r="97" spans="3:51" s="1" customFormat="1" ht="12.6" customHeight="1">
      <c r="C97" s="164" t="s">
        <v>193</v>
      </c>
      <c r="D97" s="164"/>
      <c r="E97" s="164"/>
      <c r="F97" s="165">
        <v>25</v>
      </c>
      <c r="G97" s="166">
        <v>1</v>
      </c>
      <c r="H97" s="167"/>
      <c r="I97" s="168"/>
      <c r="J97" s="168">
        <v>2</v>
      </c>
      <c r="K97" s="169">
        <v>8000</v>
      </c>
      <c r="L97" s="170" t="str">
        <f t="shared" si="0"/>
        <v>160 € pro a ;4000 € auf 25 a</v>
      </c>
      <c r="M97" s="171"/>
      <c r="N97" s="172"/>
      <c r="O97" s="173" t="s">
        <v>174</v>
      </c>
      <c r="P97" s="174" t="str">
        <f t="shared" si="1"/>
        <v>8000 € Erst.Kost - 4000€ Rückl. = 4000 €</v>
      </c>
      <c r="Q97" s="174"/>
      <c r="R97" s="174"/>
      <c r="S97" s="174"/>
      <c r="T97" s="175">
        <f t="shared" si="2"/>
        <v>-0.5</v>
      </c>
      <c r="U97" s="3"/>
      <c r="V97" s="3"/>
      <c r="W97" s="3"/>
      <c r="X97" s="3"/>
      <c r="Y97" s="3"/>
      <c r="Z97" s="3"/>
      <c r="AA97" s="3"/>
      <c r="AB97" s="3"/>
      <c r="AE97" s="3"/>
      <c r="AF97" s="3"/>
      <c r="AG97" s="3"/>
      <c r="AR97" s="64"/>
    </row>
    <row r="98" spans="3:51" s="1" customFormat="1" ht="12.6" customHeight="1">
      <c r="C98" s="164" t="s">
        <v>194</v>
      </c>
      <c r="D98" s="164"/>
      <c r="E98" s="164"/>
      <c r="F98" s="165" t="s">
        <v>195</v>
      </c>
      <c r="G98" s="166">
        <v>2</v>
      </c>
      <c r="H98" s="167"/>
      <c r="I98" s="168">
        <v>20</v>
      </c>
      <c r="J98" s="168">
        <v>2</v>
      </c>
      <c r="K98" s="169">
        <v>8000</v>
      </c>
      <c r="L98" s="170" t="str">
        <f t="shared" si="0"/>
        <v>160 € pro a ;8000 € auf 50 a</v>
      </c>
      <c r="M98" s="171"/>
      <c r="N98" s="172"/>
      <c r="O98" s="173">
        <v>1600</v>
      </c>
      <c r="P98" s="174" t="str">
        <f t="shared" si="1"/>
        <v>8000 € Erst.Kost - 8000€ Rückl. = 0 €</v>
      </c>
      <c r="Q98" s="174"/>
      <c r="R98" s="174"/>
      <c r="S98" s="174"/>
      <c r="T98" s="175">
        <f t="shared" si="2"/>
        <v>0</v>
      </c>
      <c r="U98" s="3"/>
      <c r="V98" s="3"/>
      <c r="W98" s="3"/>
      <c r="X98" s="3"/>
      <c r="Y98" s="3"/>
      <c r="Z98" s="3"/>
      <c r="AA98" s="3"/>
      <c r="AB98" s="3"/>
      <c r="AE98" s="3"/>
      <c r="AF98" s="3"/>
      <c r="AG98" s="3"/>
      <c r="AR98" s="64"/>
    </row>
    <row r="99" spans="3:51" s="1" customFormat="1" ht="12.6" customHeight="1">
      <c r="C99" s="164" t="s">
        <v>196</v>
      </c>
      <c r="D99" s="164"/>
      <c r="E99" s="164"/>
      <c r="F99" s="165">
        <v>20</v>
      </c>
      <c r="G99" s="166">
        <v>1</v>
      </c>
      <c r="H99" s="167"/>
      <c r="I99" s="168"/>
      <c r="J99" s="168">
        <v>2</v>
      </c>
      <c r="K99" s="169">
        <v>2000</v>
      </c>
      <c r="L99" s="170" t="str">
        <f t="shared" si="0"/>
        <v>40 € pro a ;800 € auf 20 a</v>
      </c>
      <c r="M99" s="171"/>
      <c r="N99" s="172"/>
      <c r="O99" s="173" t="s">
        <v>174</v>
      </c>
      <c r="P99" s="174" t="str">
        <f t="shared" si="1"/>
        <v>2000 € Erst.Kost - 800€ Rückl. = 1200 €</v>
      </c>
      <c r="Q99" s="174"/>
      <c r="R99" s="174"/>
      <c r="S99" s="174"/>
      <c r="T99" s="175">
        <f t="shared" si="2"/>
        <v>-0.6</v>
      </c>
      <c r="U99" s="3"/>
      <c r="V99" s="3"/>
      <c r="W99" s="3"/>
      <c r="X99" s="3"/>
      <c r="Y99" s="3"/>
      <c r="Z99" s="3"/>
      <c r="AA99" s="3"/>
      <c r="AB99" s="3"/>
      <c r="AE99" s="3"/>
      <c r="AF99" s="3"/>
      <c r="AG99" s="3"/>
      <c r="AR99" s="64"/>
    </row>
    <row r="100" spans="3:51" s="1" customFormat="1" ht="12.6" customHeight="1">
      <c r="C100" s="164" t="s">
        <v>197</v>
      </c>
      <c r="D100" s="164"/>
      <c r="E100" s="164"/>
      <c r="F100" s="165">
        <v>15</v>
      </c>
      <c r="G100" s="166">
        <v>4</v>
      </c>
      <c r="H100" s="167"/>
      <c r="I100" s="168"/>
      <c r="J100" s="168">
        <v>2</v>
      </c>
      <c r="K100" s="169">
        <v>6000</v>
      </c>
      <c r="L100" s="170" t="str">
        <f t="shared" si="0"/>
        <v>120 € pro a ;1800 € auf 15 a</v>
      </c>
      <c r="M100" s="171"/>
      <c r="N100" s="172"/>
      <c r="O100" s="173" t="s">
        <v>174</v>
      </c>
      <c r="P100" s="174" t="str">
        <f t="shared" si="1"/>
        <v>6000 € Erst.Kost - 1800€ Rückl. = 4200 €</v>
      </c>
      <c r="Q100" s="174"/>
      <c r="R100" s="174"/>
      <c r="S100" s="174"/>
      <c r="T100" s="175">
        <f t="shared" si="2"/>
        <v>-0.7</v>
      </c>
      <c r="U100" s="3"/>
      <c r="V100" s="3"/>
      <c r="W100" s="3"/>
      <c r="X100" s="3"/>
      <c r="Y100" s="3"/>
      <c r="Z100" s="3"/>
      <c r="AA100" s="3"/>
      <c r="AB100" s="3"/>
      <c r="AE100" s="3"/>
      <c r="AF100" s="3"/>
      <c r="AG100" s="3"/>
      <c r="AR100" s="64"/>
    </row>
    <row r="101" spans="3:51" s="1" customFormat="1" ht="12.6" customHeight="1">
      <c r="C101" s="164" t="s">
        <v>198</v>
      </c>
      <c r="D101" s="164"/>
      <c r="E101" s="164"/>
      <c r="F101" s="165">
        <v>20</v>
      </c>
      <c r="G101" s="166">
        <v>4</v>
      </c>
      <c r="H101" s="167"/>
      <c r="I101" s="168"/>
      <c r="J101" s="168">
        <v>2</v>
      </c>
      <c r="K101" s="169">
        <v>1000</v>
      </c>
      <c r="L101" s="170" t="str">
        <f t="shared" si="0"/>
        <v>20 € pro a ;400 € auf 20 a</v>
      </c>
      <c r="M101" s="171"/>
      <c r="N101" s="172"/>
      <c r="O101" s="173" t="s">
        <v>174</v>
      </c>
      <c r="P101" s="174" t="str">
        <f t="shared" si="1"/>
        <v>1000 € Erst.Kost - 400€ Rückl. = 600 €</v>
      </c>
      <c r="Q101" s="174"/>
      <c r="R101" s="174"/>
      <c r="S101" s="174"/>
      <c r="T101" s="175">
        <f t="shared" si="2"/>
        <v>-0.6</v>
      </c>
      <c r="U101" s="3"/>
      <c r="V101" s="3"/>
      <c r="W101" s="3"/>
      <c r="X101" s="3"/>
      <c r="Y101" s="3"/>
      <c r="Z101" s="3"/>
      <c r="AA101" s="3"/>
      <c r="AB101" s="3"/>
      <c r="AE101" s="3"/>
      <c r="AF101" s="3"/>
      <c r="AG101" s="3"/>
      <c r="AR101" s="64"/>
    </row>
    <row r="102" spans="3:51" s="1" customFormat="1" ht="12.6" customHeight="1">
      <c r="C102" s="164" t="s">
        <v>199</v>
      </c>
      <c r="D102" s="164"/>
      <c r="E102" s="164"/>
      <c r="F102" s="165">
        <v>15</v>
      </c>
      <c r="G102" s="166">
        <v>6</v>
      </c>
      <c r="H102" s="167"/>
      <c r="I102" s="168"/>
      <c r="J102" s="168">
        <v>2</v>
      </c>
      <c r="K102" s="169">
        <v>1500</v>
      </c>
      <c r="L102" s="170" t="str">
        <f t="shared" si="0"/>
        <v>30 € pro a ;450 € auf 15 a</v>
      </c>
      <c r="M102" s="171"/>
      <c r="N102" s="172"/>
      <c r="O102" s="173" t="s">
        <v>174</v>
      </c>
      <c r="P102" s="174" t="str">
        <f t="shared" si="1"/>
        <v>1500 € Erst.Kost - 450€ Rückl. = 1050 €</v>
      </c>
      <c r="Q102" s="174"/>
      <c r="R102" s="174"/>
      <c r="S102" s="174"/>
      <c r="T102" s="175">
        <f t="shared" si="2"/>
        <v>-0.7</v>
      </c>
      <c r="U102" s="3"/>
      <c r="V102" s="3"/>
      <c r="W102" s="3"/>
      <c r="X102" s="3"/>
      <c r="Y102" s="3"/>
      <c r="Z102" s="3"/>
      <c r="AA102" s="3"/>
      <c r="AB102" s="3"/>
      <c r="AE102" s="3"/>
      <c r="AF102" s="3"/>
      <c r="AG102" s="3"/>
      <c r="AR102" s="64"/>
    </row>
    <row r="103" spans="3:51" s="1" customFormat="1" ht="12.6" customHeight="1">
      <c r="C103" s="164" t="s">
        <v>200</v>
      </c>
      <c r="D103" s="164"/>
      <c r="E103" s="164"/>
      <c r="F103" s="165">
        <v>30</v>
      </c>
      <c r="G103" s="166">
        <v>2</v>
      </c>
      <c r="H103" s="167"/>
      <c r="I103" s="168"/>
      <c r="J103" s="168">
        <v>2</v>
      </c>
      <c r="K103" s="169">
        <v>6000</v>
      </c>
      <c r="L103" s="170" t="str">
        <f t="shared" si="0"/>
        <v>120 € pro a ;3600 € auf 30 a</v>
      </c>
      <c r="M103" s="171"/>
      <c r="N103" s="172"/>
      <c r="O103" s="173" t="s">
        <v>174</v>
      </c>
      <c r="P103" s="174" t="str">
        <f t="shared" si="1"/>
        <v>6000 € Erst.Kost - 3600€ Rückl. = 2400 €</v>
      </c>
      <c r="Q103" s="174"/>
      <c r="R103" s="174"/>
      <c r="S103" s="174"/>
      <c r="T103" s="175">
        <f t="shared" si="2"/>
        <v>-0.4</v>
      </c>
      <c r="U103" s="3"/>
      <c r="V103" s="3"/>
      <c r="W103" s="3"/>
      <c r="X103" s="3"/>
      <c r="Y103" s="3"/>
      <c r="Z103" s="3"/>
      <c r="AA103" s="3"/>
      <c r="AB103" s="3"/>
      <c r="AE103" s="3"/>
      <c r="AF103" s="3"/>
      <c r="AG103" s="3"/>
      <c r="AR103" s="64"/>
    </row>
    <row r="104" spans="3:51" s="1" customFormat="1" ht="12.6" customHeight="1">
      <c r="C104" s="164" t="s">
        <v>201</v>
      </c>
      <c r="D104" s="164"/>
      <c r="E104" s="164"/>
      <c r="F104" s="165">
        <v>30</v>
      </c>
      <c r="G104" s="166">
        <v>6</v>
      </c>
      <c r="H104" s="167"/>
      <c r="I104" s="168"/>
      <c r="J104" s="168">
        <v>2</v>
      </c>
      <c r="K104" s="169">
        <v>5000</v>
      </c>
      <c r="L104" s="170" t="str">
        <f t="shared" si="0"/>
        <v>100 € pro a ;3000 € auf 30 a</v>
      </c>
      <c r="M104" s="171"/>
      <c r="N104" s="172"/>
      <c r="O104" s="173" t="s">
        <v>174</v>
      </c>
      <c r="P104" s="174" t="str">
        <f t="shared" si="1"/>
        <v>5000 € Erst.Kost - 3000€ Rückl. = 2000 €</v>
      </c>
      <c r="Q104" s="174"/>
      <c r="R104" s="174"/>
      <c r="S104" s="174"/>
      <c r="T104" s="175">
        <f t="shared" si="2"/>
        <v>-0.4</v>
      </c>
      <c r="U104" s="3"/>
      <c r="V104" s="3"/>
      <c r="W104" s="3"/>
      <c r="X104" s="3"/>
      <c r="Y104" s="3"/>
      <c r="Z104" s="3"/>
      <c r="AA104" s="3"/>
      <c r="AB104" s="3"/>
      <c r="AE104" s="3"/>
      <c r="AF104" s="3"/>
      <c r="AG104" s="3"/>
      <c r="AR104" s="64"/>
    </row>
    <row r="105" spans="3:51" s="1" customFormat="1" ht="12.6" customHeight="1">
      <c r="C105" s="164" t="s">
        <v>202</v>
      </c>
      <c r="D105" s="164"/>
      <c r="E105" s="164"/>
      <c r="F105" s="165">
        <v>15</v>
      </c>
      <c r="G105" s="166">
        <v>4</v>
      </c>
      <c r="H105" s="167"/>
      <c r="I105" s="168"/>
      <c r="J105" s="168">
        <v>2</v>
      </c>
      <c r="K105" s="169">
        <v>8000</v>
      </c>
      <c r="L105" s="170" t="str">
        <f t="shared" si="0"/>
        <v>160 € pro a ;2400 € auf 15 a</v>
      </c>
      <c r="M105" s="171"/>
      <c r="N105" s="172"/>
      <c r="O105" s="173" t="s">
        <v>174</v>
      </c>
      <c r="P105" s="174" t="str">
        <f t="shared" si="1"/>
        <v>8000 € Erst.Kost - 2400€ Rückl. = 5600 €</v>
      </c>
      <c r="Q105" s="174"/>
      <c r="R105" s="174"/>
      <c r="S105" s="174"/>
      <c r="T105" s="175">
        <f t="shared" si="2"/>
        <v>-0.7</v>
      </c>
      <c r="U105" s="3"/>
      <c r="V105" s="3"/>
      <c r="W105" s="3"/>
      <c r="X105" s="3"/>
      <c r="Y105" s="3"/>
      <c r="Z105" s="3"/>
      <c r="AA105" s="3"/>
      <c r="AB105" s="3"/>
      <c r="AE105" s="3"/>
      <c r="AF105" s="3"/>
      <c r="AG105" s="3"/>
      <c r="AR105" s="64"/>
    </row>
    <row r="106" spans="3:51" s="1" customFormat="1" ht="12.6" customHeight="1">
      <c r="C106" s="164" t="s">
        <v>203</v>
      </c>
      <c r="D106" s="164"/>
      <c r="E106" s="164"/>
      <c r="F106" s="165">
        <v>30</v>
      </c>
      <c r="G106" s="166">
        <v>1</v>
      </c>
      <c r="H106" s="167"/>
      <c r="I106" s="168"/>
      <c r="J106" s="168">
        <v>2</v>
      </c>
      <c r="K106" s="169">
        <v>30000</v>
      </c>
      <c r="L106" s="170" t="str">
        <f t="shared" si="0"/>
        <v>600 € pro a ;18000 € auf 30 a</v>
      </c>
      <c r="M106" s="171"/>
      <c r="N106" s="172"/>
      <c r="O106" s="173" t="s">
        <v>174</v>
      </c>
      <c r="P106" s="174" t="str">
        <f t="shared" si="1"/>
        <v>30000 € Erst.Kost - 18000€ Rückl. = 12000 €</v>
      </c>
      <c r="Q106" s="174"/>
      <c r="R106" s="174"/>
      <c r="S106" s="174"/>
      <c r="T106" s="175">
        <f t="shared" si="2"/>
        <v>-0.4</v>
      </c>
      <c r="U106" s="3"/>
      <c r="V106" s="3"/>
      <c r="W106" s="3"/>
      <c r="X106" s="3"/>
      <c r="Y106" s="3"/>
      <c r="Z106" s="3"/>
      <c r="AA106" s="3"/>
      <c r="AB106" s="3"/>
      <c r="AE106" s="3"/>
      <c r="AF106" s="3"/>
      <c r="AG106" s="3"/>
      <c r="AR106" s="64"/>
    </row>
    <row r="107" spans="3:51" s="1" customFormat="1" ht="12.6" customHeight="1">
      <c r="C107" s="164" t="s">
        <v>204</v>
      </c>
      <c r="D107" s="164"/>
      <c r="E107" s="164"/>
      <c r="F107" s="165">
        <v>30</v>
      </c>
      <c r="G107" s="166">
        <v>0.5</v>
      </c>
      <c r="H107" s="167"/>
      <c r="I107" s="168"/>
      <c r="J107" s="168">
        <v>2</v>
      </c>
      <c r="K107" s="169">
        <v>35000</v>
      </c>
      <c r="L107" s="170" t="str">
        <f t="shared" si="0"/>
        <v>700 € pro a ;21000 € auf 30 a</v>
      </c>
      <c r="M107" s="171"/>
      <c r="N107" s="172"/>
      <c r="O107" s="173" t="s">
        <v>174</v>
      </c>
      <c r="P107" s="174" t="str">
        <f t="shared" si="1"/>
        <v>35000 € Erst.Kost - 21000€ Rückl. = 14000 €</v>
      </c>
      <c r="Q107" s="174"/>
      <c r="R107" s="174"/>
      <c r="S107" s="174"/>
      <c r="T107" s="175">
        <f t="shared" si="2"/>
        <v>-0.4</v>
      </c>
      <c r="U107" s="3"/>
      <c r="V107" s="3"/>
      <c r="W107" s="3"/>
      <c r="X107" s="3"/>
      <c r="Y107" s="3"/>
      <c r="Z107" s="3"/>
      <c r="AA107" s="3"/>
      <c r="AB107" s="3"/>
      <c r="AE107" s="3"/>
      <c r="AF107" s="3"/>
      <c r="AG107" s="3"/>
      <c r="AR107" s="64"/>
    </row>
    <row r="108" spans="3:51" s="1" customFormat="1" ht="12.6" customHeight="1" thickBot="1">
      <c r="C108" s="176" t="s">
        <v>205</v>
      </c>
      <c r="D108" s="176"/>
      <c r="E108" s="176"/>
      <c r="F108" s="177"/>
      <c r="G108" s="166"/>
      <c r="H108" s="167"/>
      <c r="I108" s="168"/>
      <c r="J108" s="168"/>
      <c r="K108" s="177"/>
      <c r="L108" s="170"/>
      <c r="M108" s="171"/>
      <c r="N108" s="172"/>
      <c r="O108" s="173"/>
      <c r="P108" s="174"/>
      <c r="Q108" s="174"/>
      <c r="R108" s="174"/>
      <c r="S108" s="174"/>
      <c r="T108" s="175"/>
      <c r="U108" s="3"/>
      <c r="V108" s="3"/>
      <c r="W108" s="3"/>
      <c r="X108" s="3"/>
      <c r="Y108" s="3"/>
      <c r="Z108" s="3"/>
      <c r="AA108" s="3"/>
      <c r="AB108" s="3"/>
      <c r="AE108" s="3"/>
      <c r="AF108" s="3"/>
      <c r="AG108" s="3"/>
      <c r="AR108" s="64"/>
    </row>
    <row r="109" spans="3:51" s="1" customFormat="1" ht="12.6" customHeight="1" thickBot="1">
      <c r="C109" s="164" t="s">
        <v>206</v>
      </c>
      <c r="D109" s="164"/>
      <c r="E109" s="164"/>
      <c r="F109" s="165">
        <v>30</v>
      </c>
      <c r="G109" s="166">
        <v>0.5</v>
      </c>
      <c r="H109" s="167"/>
      <c r="I109" s="168"/>
      <c r="J109" s="168">
        <v>2</v>
      </c>
      <c r="K109" s="169">
        <v>35000</v>
      </c>
      <c r="L109" s="174" t="str">
        <f t="shared" si="0"/>
        <v>700 € pro a ;21000 € auf 30 a</v>
      </c>
      <c r="M109" s="174"/>
      <c r="N109" s="174"/>
      <c r="O109" s="173"/>
      <c r="P109" s="174" t="str">
        <f t="shared" si="1"/>
        <v>35000 € Erst.Kost - 21000€ Rückl. = 14000 €</v>
      </c>
      <c r="Q109" s="174"/>
      <c r="R109" s="174"/>
      <c r="S109" s="174"/>
      <c r="T109" s="175">
        <f>(K109-K109 *(RIGHT(J109,2)/100)*RIGHT(F109,2))/K109</f>
        <v>0.4</v>
      </c>
      <c r="U109" s="3"/>
      <c r="V109" s="3"/>
      <c r="W109" s="3"/>
      <c r="X109" s="3"/>
      <c r="Y109" s="3"/>
      <c r="Z109" s="3"/>
      <c r="AA109" s="3"/>
      <c r="AB109" s="3"/>
      <c r="AE109" s="3"/>
      <c r="AF109" s="3"/>
      <c r="AG109" s="3"/>
      <c r="AL109" s="178"/>
      <c r="AM109" s="179"/>
      <c r="AN109" s="180"/>
      <c r="AO109" s="180"/>
      <c r="AP109" s="181" t="s">
        <v>207</v>
      </c>
      <c r="AR109" s="64"/>
      <c r="AY109" s="1" t="str">
        <f>CONCATENATE("Dezember 55 kWh /31 Tage =",ROUND(55/31,0)," kWh am Tag")</f>
        <v>Dezember 55 kWh /31 Tage =2 kWh am Tag</v>
      </c>
    </row>
    <row r="110" spans="3:51" s="1" customFormat="1" ht="12.6" customHeight="1" thickBot="1">
      <c r="C110" s="182" t="s">
        <v>208</v>
      </c>
      <c r="D110" s="183" t="s">
        <v>209</v>
      </c>
      <c r="E110" s="134"/>
      <c r="F110" s="134"/>
      <c r="G110" s="135"/>
      <c r="H110" s="135"/>
      <c r="I110" s="3"/>
      <c r="L110" s="3"/>
      <c r="M110" s="3"/>
      <c r="O110" s="3"/>
      <c r="P110" s="3"/>
      <c r="Q110" s="64"/>
      <c r="R110" s="64"/>
      <c r="S110" s="3"/>
      <c r="T110" s="3"/>
      <c r="U110" s="3"/>
      <c r="V110" s="3"/>
      <c r="W110" s="3"/>
      <c r="X110" s="3"/>
      <c r="Y110" s="3"/>
      <c r="Z110" s="3"/>
      <c r="AA110" s="3"/>
      <c r="AB110" s="3"/>
      <c r="AE110" s="3"/>
      <c r="AF110" s="3"/>
      <c r="AG110" s="3"/>
      <c r="AL110" s="184">
        <v>0.44</v>
      </c>
      <c r="AM110" s="179"/>
      <c r="AN110" s="185" t="s">
        <v>210</v>
      </c>
      <c r="AO110" s="186">
        <f>AL110*AQ115</f>
        <v>5280</v>
      </c>
      <c r="AP110" s="187"/>
      <c r="AQ110" s="188"/>
      <c r="AR110" s="189"/>
      <c r="AS110" s="188"/>
      <c r="AT110" s="188"/>
      <c r="AU110" s="188"/>
      <c r="AY110" s="1" t="str">
        <f>CONCATENATE("Juni 888 kWh /31 Tage =",ROUND(888/31,0)," kWh am Tag")</f>
        <v>Juni 888 kWh /31 Tage =29 kWh am Tag</v>
      </c>
    </row>
    <row r="111" spans="3:51" s="1" customFormat="1" ht="12.6" customHeight="1" thickBot="1">
      <c r="C111" s="182"/>
      <c r="D111" s="183"/>
      <c r="E111" s="134"/>
      <c r="F111" s="134"/>
      <c r="G111" s="135"/>
      <c r="H111" s="135"/>
      <c r="I111" s="3"/>
      <c r="L111" s="3"/>
      <c r="M111" s="3"/>
      <c r="O111" s="3"/>
      <c r="P111" s="3"/>
      <c r="Q111" s="64"/>
      <c r="R111" s="64"/>
      <c r="S111" s="3"/>
      <c r="T111" s="3"/>
      <c r="U111" s="3"/>
      <c r="V111" s="3"/>
      <c r="W111" s="3"/>
      <c r="X111" s="3"/>
      <c r="Y111" s="3"/>
      <c r="Z111" s="3"/>
      <c r="AA111" s="3"/>
      <c r="AB111" s="3"/>
      <c r="AE111" s="3"/>
      <c r="AF111" s="3"/>
      <c r="AG111" s="3"/>
      <c r="AK111" s="190" t="s">
        <v>211</v>
      </c>
      <c r="AL111" s="184"/>
      <c r="AM111" s="180"/>
      <c r="AN111" s="185" t="s">
        <v>212</v>
      </c>
      <c r="AO111" s="186">
        <f>AU117*AL110</f>
        <v>8387.5</v>
      </c>
      <c r="AP111" s="187"/>
      <c r="AQ111" s="191" t="s">
        <v>213</v>
      </c>
      <c r="AR111" s="192"/>
      <c r="AS111" s="193"/>
      <c r="AT111" s="194"/>
      <c r="AU111" s="195">
        <v>3.2</v>
      </c>
      <c r="AY111" s="1" t="s">
        <v>214</v>
      </c>
    </row>
    <row r="112" spans="3:51" s="1" customFormat="1" ht="12.6" customHeight="1" thickBot="1">
      <c r="D112" s="3"/>
      <c r="E112" s="134"/>
      <c r="F112" s="134"/>
      <c r="G112" s="135"/>
      <c r="H112" s="135"/>
      <c r="I112" s="3"/>
      <c r="L112" s="3"/>
      <c r="M112" s="3"/>
      <c r="O112" s="3"/>
      <c r="P112" s="3"/>
      <c r="Q112" s="64"/>
      <c r="R112" s="64"/>
      <c r="S112" s="3"/>
      <c r="T112" s="3"/>
      <c r="U112" s="3"/>
      <c r="V112" s="3"/>
      <c r="W112" s="3"/>
      <c r="X112" s="3"/>
      <c r="Y112" s="3"/>
      <c r="Z112" s="3"/>
      <c r="AA112" s="3"/>
      <c r="AB112" s="3"/>
      <c r="AE112" s="3"/>
      <c r="AF112" s="3"/>
      <c r="AG112" s="3"/>
      <c r="AH112" s="3"/>
      <c r="AK112" s="196">
        <v>1555</v>
      </c>
      <c r="AL112" s="197">
        <v>0.12</v>
      </c>
      <c r="AM112" s="198"/>
      <c r="AN112" s="199" t="s">
        <v>22</v>
      </c>
      <c r="AO112" s="200">
        <f>AQ116*AL112</f>
        <v>7320</v>
      </c>
      <c r="AP112" s="201"/>
      <c r="AQ112" s="202">
        <f>AVERAGE(AR112:AS112)</f>
        <v>33.549999999999997</v>
      </c>
      <c r="AR112" s="203">
        <f>ROUND(AQ116/2100,1)</f>
        <v>29</v>
      </c>
      <c r="AS112" s="204">
        <f>ROUND(AQ116/1600,1)</f>
        <v>38.1</v>
      </c>
      <c r="AT112" s="205">
        <v>1.73</v>
      </c>
      <c r="AU112" s="206">
        <v>370</v>
      </c>
      <c r="AV112" s="3"/>
    </row>
    <row r="113" spans="2:76" s="1" customFormat="1" ht="43.2" customHeight="1" thickBot="1">
      <c r="AB113" s="1" t="s">
        <v>215</v>
      </c>
      <c r="AF113" s="207" t="s">
        <v>216</v>
      </c>
      <c r="AG113" s="208"/>
      <c r="AH113" s="208"/>
      <c r="AI113" s="209"/>
      <c r="AJ113" s="210"/>
      <c r="AK113" s="211" t="str">
        <f>CONCATENATE(IF(AK112&gt;1800,"Bestand ","Neubau "),"(Info bei ",AK112," Volllast-stunden (idR liegen die Vollast-stunden im Bestand bei 1.500 bis 2.100 h/a &amp; im Neubau keiner 1800h )")</f>
        <v>Neubau (Info bei 1555 Volllast-stunden (idR liegen die Vollast-stunden im Bestand bei 1.500 bis 2.100 h/a &amp; im Neubau keiner 1800h )</v>
      </c>
      <c r="AL113" s="212"/>
      <c r="AM113" s="213"/>
      <c r="AN113" s="214" t="s">
        <v>217</v>
      </c>
      <c r="AO113" s="214"/>
      <c r="AP113" s="214"/>
      <c r="AQ113" s="214"/>
      <c r="AR113" s="214"/>
      <c r="AS113" s="215"/>
      <c r="AT113" s="216" t="str">
        <f>CONCATENATE("EEG* Quote von Einspeisung ",ROUND((AU115/AU114)*100,0)," %"," Einverbrauch ",ROUND((AU116/AU114)*100,0)," % (informativ)")</f>
        <v>EEG* Quote von Einspeisung 40 % Einverbrauch 60 % (informativ)</v>
      </c>
      <c r="AU113" s="217"/>
      <c r="AV113" s="218" t="s">
        <v>218</v>
      </c>
      <c r="AW113" s="3"/>
      <c r="AY113" s="219" t="s">
        <v>219</v>
      </c>
      <c r="AZ113" s="220"/>
      <c r="BA113" s="221">
        <v>2</v>
      </c>
      <c r="BB113" s="222" t="s">
        <v>220</v>
      </c>
    </row>
    <row r="114" spans="2:76" s="1" customFormat="1" ht="46.5" customHeight="1" thickBot="1">
      <c r="C114" s="223" t="s">
        <v>221</v>
      </c>
      <c r="D114" s="223"/>
      <c r="E114" s="223"/>
      <c r="F114" s="3"/>
      <c r="G114" s="3"/>
      <c r="H114" s="3"/>
      <c r="I114" s="3"/>
      <c r="J114" s="3"/>
      <c r="K114" s="3"/>
      <c r="L114" s="3"/>
      <c r="M114" s="3"/>
      <c r="O114" s="224" t="s">
        <v>222</v>
      </c>
      <c r="P114" s="225"/>
      <c r="Q114" s="226"/>
      <c r="R114" s="64"/>
      <c r="T114" s="227" t="s">
        <v>223</v>
      </c>
      <c r="U114" s="61"/>
      <c r="V114" s="228"/>
      <c r="W114" s="229" t="s">
        <v>224</v>
      </c>
      <c r="X114" s="230"/>
      <c r="Y114" s="230"/>
      <c r="Z114" s="230"/>
      <c r="AA114" s="231"/>
      <c r="AB114" s="232" t="s">
        <v>225</v>
      </c>
      <c r="AC114" s="233" t="s">
        <v>226</v>
      </c>
      <c r="AD114" s="234" t="s">
        <v>227</v>
      </c>
      <c r="AE114" s="3"/>
      <c r="AF114" s="235"/>
      <c r="AG114" s="83" t="s">
        <v>228</v>
      </c>
      <c r="AH114" s="83"/>
      <c r="AI114" s="83"/>
      <c r="AJ114" s="236"/>
      <c r="AK114" s="237" t="str">
        <f>CONCATENATE("Für ", AL115," kWh Heizenergie sind bei einer Luft-WasserWP mit ",AU111, " JAZ  =",ROUND(AL115/AU111,0), " kWh/a  also ca.",ROUND((AL115/AU111)*AT112/AU112,0)," Module mit ",AU112,"Wp je Module erforderlich; Das sind ca. ", ROUND(((AL115/AU111)*AT112/AU112)*(1.77*1.05),0)," m² mit Standardmodulen (176cm x 104cm). Am Wintertag mit Heizstabbetrieb ca. ", ROUND(((AL116*24)),0)," kWh = ", ROUND((((AL116*24)*AT112/AU112))*(1.77*1.05),1), "m²" )</f>
        <v>Für 9656,55 kWh Heizenergie sind bei einer Luft-WasserWP mit 3,2 JAZ  =3018 kWh/a  also ca.14 Module mit 370Wp je Module erforderlich; Das sind ca. 26 m² mit Standardmodulen (176cm x 104cm). Am Wintertag mit Heizstabbetrieb ca. 360 kWh = 3,1m²</v>
      </c>
      <c r="AL114" s="238"/>
      <c r="AM114" s="239">
        <f>IF(OR(AQ116/AQ114&lt;1500,AQ116/AQ114&gt;2100),0,1)</f>
        <v>0</v>
      </c>
      <c r="AN114" s="240" t="s">
        <v>229</v>
      </c>
      <c r="AO114" s="241"/>
      <c r="AP114" s="241"/>
      <c r="AQ114" s="242">
        <v>15</v>
      </c>
      <c r="AR114" s="243" t="str">
        <f>CONCATENATE("Volllaststunden = Wärmebedarf / Heizlast = (idR.1.500 bis 2.100 h/a) ",ROUND(AQ116/AQ114,1)," h/a")</f>
        <v>Volllaststunden = Wärmebedarf / Heizlast = (idR.1.500 bis 2.100 h/a) 4066,7 h/a</v>
      </c>
      <c r="AS114" s="244"/>
      <c r="AT114" s="245" t="s">
        <v>230</v>
      </c>
      <c r="AU114" s="246">
        <f>AU117</f>
        <v>19062.5</v>
      </c>
      <c r="AV114" s="247" t="s">
        <v>231</v>
      </c>
      <c r="AW114" s="248"/>
      <c r="AX114" s="248"/>
      <c r="AY114" s="219" t="s">
        <v>232</v>
      </c>
      <c r="AZ114" s="220"/>
      <c r="BA114" s="221">
        <v>0.3</v>
      </c>
      <c r="BB114" s="222" t="s">
        <v>37</v>
      </c>
      <c r="BT114" s="249" t="s">
        <v>233</v>
      </c>
      <c r="BW114" s="1" t="s">
        <v>234</v>
      </c>
      <c r="BX114" s="1" t="s">
        <v>234</v>
      </c>
    </row>
    <row r="115" spans="2:76" s="1" customFormat="1" ht="42.3" customHeight="1">
      <c r="C115" s="83" t="s">
        <v>235</v>
      </c>
      <c r="D115" s="83"/>
      <c r="E115" s="83"/>
      <c r="F115" s="3"/>
      <c r="G115" s="3"/>
      <c r="H115" s="3"/>
      <c r="I115" s="3"/>
      <c r="J115" s="3"/>
      <c r="K115" s="3"/>
      <c r="L115" s="3"/>
      <c r="M115" s="3"/>
      <c r="O115" s="250" t="s">
        <v>236</v>
      </c>
      <c r="P115" s="251" t="s">
        <v>237</v>
      </c>
      <c r="Q115" s="252"/>
      <c r="R115" s="64"/>
      <c r="T115" s="253" t="s">
        <v>238</v>
      </c>
      <c r="Y115" s="254">
        <v>15</v>
      </c>
      <c r="AA115" s="255"/>
      <c r="AB115" s="256" t="s">
        <v>239</v>
      </c>
      <c r="AC115" s="257">
        <v>2021</v>
      </c>
      <c r="AD115" s="258" t="s">
        <v>240</v>
      </c>
      <c r="AE115" s="3"/>
      <c r="AF115" s="259" t="s">
        <v>241</v>
      </c>
      <c r="AG115" s="83" t="s">
        <v>242</v>
      </c>
      <c r="AH115" s="83"/>
      <c r="AI115" s="83"/>
      <c r="AJ115" s="236"/>
      <c r="AK115" s="260" t="s">
        <v>243</v>
      </c>
      <c r="AL115" s="261">
        <f>(AL116*AQ119)/1000*AK112</f>
        <v>9656.5499999999993</v>
      </c>
      <c r="AM115" s="262"/>
      <c r="AN115" s="263" t="str">
        <f>CONCATENATE("Strombedarf 
(übliche Verbrauch)            ", ROUND(AQ115/(AQ115+AQ116)*100,0), " % des Energiebedarfs")</f>
        <v>Strombedarf 
(übliche Verbrauch)            16 % des Energiebedarfs</v>
      </c>
      <c r="AO115" s="264"/>
      <c r="AP115" s="264"/>
      <c r="AQ115" s="265">
        <v>12000</v>
      </c>
      <c r="AR115" s="243" t="str">
        <f>CONCATENATE(" 401 Strom ",ROUND(((401/1000)*AQ115)/1000,3)," t CO² ", "Energievertrauch pro Tag ",  ROUND(AQ115/365,0)," kWh; je Person ",ROUND(AQ115/AQ118,0)," kWh")</f>
        <v xml:space="preserve"> 401 Strom 4,812 t CO² Energievertrauch pro Tag 33 kWh; je Person 1500 kWh</v>
      </c>
      <c r="AS115" s="244"/>
      <c r="AT115" s="245" t="s">
        <v>244</v>
      </c>
      <c r="AU115" s="246">
        <f>AU114*0.4</f>
        <v>7625</v>
      </c>
      <c r="AV115" s="247"/>
      <c r="AW115" s="248"/>
      <c r="AX115" s="248"/>
      <c r="AY115" s="219" t="s">
        <v>245</v>
      </c>
      <c r="AZ115" s="220"/>
      <c r="BA115" s="221">
        <v>55</v>
      </c>
      <c r="BB115" s="222" t="s">
        <v>246</v>
      </c>
      <c r="BT115" s="266" t="s">
        <v>247</v>
      </c>
      <c r="BU115" s="266">
        <v>6</v>
      </c>
      <c r="BV115" s="266">
        <v>8</v>
      </c>
      <c r="BW115" s="266">
        <v>10.4</v>
      </c>
      <c r="BX115" s="266">
        <v>17.2</v>
      </c>
    </row>
    <row r="116" spans="2:76" ht="39.9" customHeight="1" thickBot="1">
      <c r="C116" s="83"/>
      <c r="D116" s="83"/>
      <c r="E116" s="83"/>
      <c r="O116" s="267" t="s">
        <v>248</v>
      </c>
      <c r="P116" s="268" t="s">
        <v>237</v>
      </c>
      <c r="Q116" s="269"/>
      <c r="T116" s="270" t="str">
        <f>CONCATENATE("Sie haben noch eine Statistische Lebenserwartung (idR.",T26,") von ",T26-V114," Jahren! Zitat: https://www.destatis.de/DE/Themen/Gesellschaft-Umwelt/Bevoelkerung/Sterbefaelle-Lebenserwartung/_inhalt.html")</f>
        <v>Sie haben noch eine Statistische Lebenserwartung (idR.79) von 79 Jahren! Zitat: https://www.destatis.de/DE/Themen/Gesellschaft-Umwelt/Bevoelkerung/Sterbefaelle-Lebenserwartung/_inhalt.html</v>
      </c>
      <c r="U116" s="83"/>
      <c r="V116" s="83"/>
      <c r="W116" s="83"/>
      <c r="X116" s="83"/>
      <c r="Y116" s="48"/>
      <c r="AA116" s="271"/>
      <c r="AB116" s="256"/>
      <c r="AC116" s="272">
        <v>2025</v>
      </c>
      <c r="AD116" s="273" t="s">
        <v>249</v>
      </c>
      <c r="AF116" s="274" t="s">
        <v>250</v>
      </c>
      <c r="AG116" s="83" t="s">
        <v>251</v>
      </c>
      <c r="AH116" s="83" t="s">
        <v>252</v>
      </c>
      <c r="AI116" s="83"/>
      <c r="AJ116" s="236"/>
      <c r="AK116" s="275" t="s">
        <v>253</v>
      </c>
      <c r="AL116" s="276">
        <v>15</v>
      </c>
      <c r="AM116" s="277"/>
      <c r="AN116" s="240" t="s">
        <v>254</v>
      </c>
      <c r="AO116" s="241"/>
      <c r="AP116" s="241"/>
      <c r="AQ116" s="265">
        <v>61000</v>
      </c>
      <c r="AR116" s="278" t="str">
        <f>CONCATENATE("267 Öl ", ROUND(((267/1000)*AQ116)/1000,3)," t CO²;
182 Gas ", ROUND(((182/1000)*AQ116)/1000,3)," t CO²; "," 401 Strom ", ROUND(((401/1000)*AQ116)/1000,3)," t CO²; ", " 20 Holz ", ROUND(((20/1000)*AQ116)/1000,3)," t CO²")</f>
        <v>267 Öl 16,287 t CO²;
182 Gas 11,102 t CO²;  401 Strom 24,461 t CO²;  20 Holz 1,22 t CO²</v>
      </c>
      <c r="AS116" s="279"/>
      <c r="AT116" s="275" t="s">
        <v>255</v>
      </c>
      <c r="AU116" s="280">
        <f>AU114-AU115</f>
        <v>11437.5</v>
      </c>
      <c r="AV116" s="247"/>
      <c r="AW116" s="248"/>
      <c r="AX116" s="248"/>
      <c r="BA116" s="281">
        <f>BA115/1000</f>
        <v>5.5E-2</v>
      </c>
      <c r="BB116" s="281" t="s">
        <v>256</v>
      </c>
      <c r="BT116" s="266" t="s">
        <v>257</v>
      </c>
      <c r="BU116" s="266">
        <v>3.2</v>
      </c>
      <c r="BV116" s="266">
        <v>3.2</v>
      </c>
      <c r="BW116" s="266">
        <v>3.2</v>
      </c>
      <c r="BX116" s="266">
        <v>3.2</v>
      </c>
    </row>
    <row r="117" spans="2:76" ht="39.9" customHeight="1" thickBot="1">
      <c r="C117" s="83" t="s">
        <v>258</v>
      </c>
      <c r="D117" s="83"/>
      <c r="E117" s="83"/>
      <c r="F117" s="282"/>
      <c r="G117" s="282"/>
      <c r="H117" s="282"/>
      <c r="I117" s="282"/>
      <c r="J117" s="282"/>
      <c r="K117" s="282"/>
      <c r="L117" s="282"/>
      <c r="M117" s="282"/>
      <c r="N117" s="3"/>
      <c r="O117" s="250" t="s">
        <v>259</v>
      </c>
      <c r="P117" s="251" t="s">
        <v>237</v>
      </c>
      <c r="Q117" s="252"/>
      <c r="S117" s="283"/>
      <c r="T117" s="284" t="str">
        <f>CONCATENATE("Also nur noch ",IF(V114&gt;1,(T26-V114)*365,Y115*365)," Tage, oder ",IF(V114&gt;1,(T26-V114)*365*24,Y115*365*24), " Stunden! Was wollen Sie noch machen?")</f>
        <v>Also nur noch 5475 Tage, oder 131400 Stunden! Was wollen Sie noch machen?</v>
      </c>
      <c r="U117" s="1"/>
      <c r="V117" s="1"/>
      <c r="AA117" s="271"/>
      <c r="AB117" s="285" t="s">
        <v>260</v>
      </c>
      <c r="AC117" s="286" t="s">
        <v>261</v>
      </c>
      <c r="AD117" s="287" t="s">
        <v>262</v>
      </c>
      <c r="AF117" s="288"/>
      <c r="AG117" s="83" t="s">
        <v>263</v>
      </c>
      <c r="AH117" s="83"/>
      <c r="AI117" s="83"/>
      <c r="AJ117" s="83"/>
      <c r="AK117" s="289" t="s">
        <v>264</v>
      </c>
      <c r="AL117" s="290"/>
      <c r="AM117" s="277"/>
      <c r="AN117" s="240" t="s">
        <v>265</v>
      </c>
      <c r="AO117" s="241"/>
      <c r="AP117" s="241"/>
      <c r="AQ117" s="291">
        <v>3600</v>
      </c>
      <c r="AR117" s="292" t="str">
        <f>CONCATENATE(ROUND(AQ117/AQ116,3)," € je kWh")</f>
        <v>0,059 € je kWh</v>
      </c>
      <c r="AS117" s="293"/>
      <c r="AT117" s="294" t="str">
        <f>CONCATENATE("Bei zB. Luft-Wasser-Wärmepumpe mit ",AU111, " JAZ")</f>
        <v>Bei zB. Luft-Wasser-Wärmepumpe mit 3,2 JAZ</v>
      </c>
      <c r="AU117" s="295">
        <f>AQ116/AU111</f>
        <v>19062.5</v>
      </c>
      <c r="AV117" s="296" t="str">
        <f>CONCATENATE("Für ",ROUND(AU117,0), " kWh/a sind ca.",ROUND(AU117*AT112/AU112,0)," Module mit ",AU112,"Wp je Module erforderlich; Das sind ca. ", ROUND((AU117*AT112/AU112)*(1.77*1.05),0)," m² mit Standardmodulen (176cm x 104cm)."  )</f>
        <v>Für 19063 kWh/a sind ca.89 Module mit 370Wp je Module erforderlich; Das sind ca. 166 m² mit Standardmodulen (176cm x 104cm).</v>
      </c>
      <c r="AW117" s="297"/>
      <c r="BD117" s="3" t="s">
        <v>266</v>
      </c>
      <c r="BT117" s="266" t="s">
        <v>267</v>
      </c>
      <c r="BU117" s="266">
        <v>3.6</v>
      </c>
      <c r="BV117" s="266">
        <v>3.6</v>
      </c>
      <c r="BW117" s="266">
        <v>3.6</v>
      </c>
      <c r="BX117" s="266">
        <v>3.6</v>
      </c>
    </row>
    <row r="118" spans="2:76" ht="39.9" customHeight="1" thickBot="1">
      <c r="C118" s="83"/>
      <c r="D118" s="83"/>
      <c r="E118" s="83"/>
      <c r="F118" s="48"/>
      <c r="G118" s="48"/>
      <c r="H118" s="48"/>
      <c r="I118" s="48"/>
      <c r="J118" s="48"/>
      <c r="K118" s="48"/>
      <c r="L118" s="48"/>
      <c r="M118" s="48"/>
      <c r="N118" s="48"/>
      <c r="O118" s="267" t="s">
        <v>268</v>
      </c>
      <c r="P118" s="268" t="s">
        <v>237</v>
      </c>
      <c r="Q118" s="269"/>
      <c r="S118" s="283"/>
      <c r="T118" s="298" t="str">
        <f>IF(V114&gt;Y115,CONCATENATE(" Bei Gas haben und sie pro Jahr ca. ",ROUND(E8*0.24/1000,1)," t CO2 (",ROUND((E8*0.24/1000)*AD119,0),"€) und über die nächsten ",T26-V114," Jahre sind das ",ROUND(((T26-V114)*E8*0.24)/1000,0)," t CO2 also wahrscheinlich mindestens ",ROUND((((T26-V114)*E8*0.24)/1000)*AD119,0),"  € NUR CO2 Abgabe"),CONCATENATE(" Bei Gas haben und sie pro Jahr ca. ",ROUND(E8*0.24/1000,1)," t CO2 (",ROUND((E8*0.24/1000)*AD119,0),"€) und über die nächsten ",Y115," Jahre sind das ",ROUND(((Y115)*E8*0.24)/1000,0)," t CO2 also wahrscheinlich mindestens ",ROUND((((Y115)*E8*0.24)/1000)*AD119,0),"  € NUR CO2 Abgabe"))</f>
        <v xml:space="preserve"> Bei Gas haben und sie pro Jahr ca. 9,6 t CO2 (1920€) und über die nächsten 15 Jahre sind das 144 t CO2 also wahrscheinlich mindestens 28800  € NUR CO2 Abgabe</v>
      </c>
      <c r="U118" s="299"/>
      <c r="V118" s="299"/>
      <c r="W118" s="299"/>
      <c r="X118" s="299" t="str">
        <f>IF(V114&gt;Y115,CONCATENATE(" Bei ÖL haben und sie pro Jahr ca. ",ROUND(E8*0.31/1000,1)," t CO2 (",ROUND((E8*0.31/1000)*AD119,0),"€) und über die nächsten ",T26-V114," Jahre sind das ",ROUND(((T26-V114)*E8*0.31)/1000,0)," t CO2 also wahrscheinlich mindestens ",ROUND((((T26-V114)*E8*0.31)/1000)*AD119,0)," € NUR CO2 Abgabe"),CONCATENATE(" Bei ÖL haben und sie pro Jahr ca. ",ROUND(E8*0.31/1000,1)," t CO2 (",ROUND((E8*0.31/1000)*AD119,0),"€) und über die nächsten ",Y115," Jahre sind das ",ROUND(((Y115)*E8*0.31)/1000,0)," t CO2 also wahrscheinlich mindestens ",ROUND((((Y115)*E8*0.31)/1000)*AD119,0)," € NUR CO2 Abgabe"))</f>
        <v xml:space="preserve"> Bei ÖL haben und sie pro Jahr ca. 12,4 t CO2 (2480€) und über die nächsten 15 Jahre sind das 186 t CO2 also wahrscheinlich mindestens 37200 € NUR CO2 Abgabe</v>
      </c>
      <c r="Y118" s="299"/>
      <c r="Z118" s="300" t="str">
        <f>IF(V114&gt;Y115,CONCATENATE(" Bei Holz haben und sie pro Jahr ca. ",ROUND(E8*0.02/1000,1)," t CO2 (",ROUND((E8*0.02/1000)*AD119,0),"€) und über die nächsten ",T26-V114," Jahre sind das ",ROUND(((T26-V114)*E8*0.02)/1000,0)," t CO2 also wahrscheinlich mindestens ",ROUND((((T26-V114)*E8*0.02)/1000)*AD119,0)," € NUR CO2 Abgabe"),CONCATENATE(" Bei Holz haben und sie pro Jahr ca. ",ROUND(E8*0.02/1000,1)," t CO2 (",ROUND((E8*0.02/1000)*AD119,0),"€) und über die nächsten ",Y115," Jahre sind das ",ROUND(((Y115)*E8*0.02)/1000,0)," t CO2 also wahrscheinlich mindestens ",ROUND((((Y115)*E8*0.02)/1000)*AD119,0)," € NUR CO2 Abgabe"))</f>
        <v xml:space="preserve"> Bei Holz haben und sie pro Jahr ca. 0,8 t CO2 (160€) und über die nächsten 15 Jahre sind das 12 t CO2 also wahrscheinlich mindestens 2400 € NUR CO2 Abgabe</v>
      </c>
      <c r="AA118" s="301"/>
      <c r="AB118" s="302" t="s">
        <v>269</v>
      </c>
      <c r="AD118" s="303" t="s">
        <v>270</v>
      </c>
      <c r="AF118" s="304"/>
      <c r="AG118" s="305" t="s">
        <v>271</v>
      </c>
      <c r="AH118" s="305"/>
      <c r="AI118" s="305"/>
      <c r="AJ118" s="305"/>
      <c r="AK118" s="245" t="s">
        <v>272</v>
      </c>
      <c r="AL118" s="306">
        <v>3000</v>
      </c>
      <c r="AM118" s="307">
        <f>AQ116/10</f>
        <v>6100</v>
      </c>
      <c r="AN118" s="308" t="str">
        <f>CONCATENATE("Personen   (übliche Belegung) Trinkwarm-wasserbedarf ", (AQ119 * 20)," kWh a (nach GEG 20 kWhm²a) ",ROUND(AQ116/(AQ119 * 20),0)," %")</f>
        <v>Personen   (übliche Belegung) Trinkwarm-wasserbedarf 8280 kWh a (nach GEG 20 kWhm²a) 7 %</v>
      </c>
      <c r="AO118" s="309"/>
      <c r="AP118" s="309"/>
      <c r="AQ118" s="310">
        <v>8</v>
      </c>
      <c r="AR118" s="311" t="str">
        <f>CONCATENATE("CO2 auf Heizung &amp; Strom  Öl ", ROUND(((((267/1000)*(AQ116))/1000)+(((AC132/1000)*AQ115))/1000)/AQ118,1)," t CO² Pers;
Gas ", ROUND((((((182/1000)*(AQ116)/1000)+((AC132/1000)*AQ115)/1000))/AQ118),1)," t CO² Pers  ","401 Strom ", ROUND(((((401/1000)*(AQ116+AQ115))/1000)/AQ118),1)," t CO² Pers")</f>
        <v>CO2 auf Heizung &amp; Strom  Öl 2,9 t CO² Pers;
Gas 2,2 t CO² Pers  401 Strom 3,7 t CO² Pers</v>
      </c>
      <c r="AS118" s="312"/>
      <c r="AT118" s="313" t="str">
        <f>CONCATENATE(AN116," / Wohnfläche [m²]  = ",ROUND(AQ116/AQ119,0)," kWh je m²")</f>
        <v>Verbrauch [kWh]
(laut Rechnung oder Berechnung) / Wohnfläche [m²]  = 147 kWh je m²</v>
      </c>
      <c r="AU118" s="313"/>
      <c r="AV118" s="313"/>
      <c r="AW118" s="314" t="str">
        <f>IF((AQ115+AU117)&gt;21000,CONCATENATE("Der Verbrauch an Strom (Täglicher Bedarf und ggf. WP Heizung) ist ggf.",SUM(AQ115+AU117)," kWh! Eine Brennstoffzelle wäre ggf. eine gute Idee")," ")</f>
        <v>Der Verbrauch an Strom (Täglicher Bedarf und ggf. WP Heizung) ist ggf.31062,5 kWh! Eine Brennstoffzelle wäre ggf. eine gute Idee</v>
      </c>
      <c r="AX118" s="314"/>
      <c r="AY118" s="48"/>
      <c r="AZ118" s="315" t="s">
        <v>273</v>
      </c>
      <c r="BD118" s="316" t="s">
        <v>274</v>
      </c>
      <c r="BT118" s="266" t="s">
        <v>275</v>
      </c>
      <c r="BU118" s="266">
        <v>2</v>
      </c>
      <c r="BV118" s="266">
        <v>2</v>
      </c>
      <c r="BW118" s="266">
        <v>2</v>
      </c>
      <c r="BX118" s="266">
        <v>2</v>
      </c>
    </row>
    <row r="119" spans="2:76" ht="39.9" customHeight="1" thickBot="1">
      <c r="C119" s="83"/>
      <c r="D119" s="83"/>
      <c r="E119" s="83"/>
      <c r="F119" s="48"/>
      <c r="G119" s="48"/>
      <c r="H119" s="48"/>
      <c r="I119" s="48"/>
      <c r="J119" s="48"/>
      <c r="K119" s="48"/>
      <c r="L119" s="48"/>
      <c r="M119" s="48"/>
      <c r="N119" s="48"/>
      <c r="O119" s="317" t="s">
        <v>276</v>
      </c>
      <c r="P119" s="318" t="s">
        <v>277</v>
      </c>
      <c r="Q119" s="319"/>
      <c r="W119" s="320"/>
      <c r="X119" s="320"/>
      <c r="Y119" s="320"/>
      <c r="Z119" s="320"/>
      <c r="AA119" s="321"/>
      <c r="AB119" s="322">
        <v>20</v>
      </c>
      <c r="AC119" s="323"/>
      <c r="AD119" s="324">
        <v>200</v>
      </c>
      <c r="AK119" s="275" t="s">
        <v>278</v>
      </c>
      <c r="AL119" s="325">
        <f>AL118*10</f>
        <v>30000</v>
      </c>
      <c r="AM119" s="326">
        <f>IF(OR((AQ114/AQ119)*1000&lt;10,(AQ114/AQ119)*1000&gt;500),0,1)</f>
        <v>1</v>
      </c>
      <c r="AN119" s="327" t="str">
        <f>CONCATENATE("beheizte Wohnfläche [m²]
(nach zB. Unterlagen zum Bauantrag) ", AQ119/AQ118, "m² je Person; Ausreichend wäre 40-70m² je Person")</f>
        <v>beheizte Wohnfläche [m²]
(nach zB. Unterlagen zum Bauantrag) 51,75m² je Person; Ausreichend wäre 40-70m² je Person</v>
      </c>
      <c r="AO119" s="328"/>
      <c r="AP119" s="328"/>
      <c r="AQ119" s="329">
        <v>414</v>
      </c>
      <c r="AR119" s="330" t="str">
        <f>CONCATENATE("Bestand ",ROUND(((AQ114/AQ119)*1000),0)," W/m² ","Ein Neubau sollte zwischen 10-30 W/m² liegen")</f>
        <v>Bestand 36 W/m² Ein Neubau sollte zwischen 10-30 W/m² liegen</v>
      </c>
      <c r="AS119" s="331"/>
      <c r="AT119" s="332"/>
      <c r="AU119" s="332"/>
      <c r="AV119" s="332"/>
      <c r="AW119" s="314"/>
      <c r="AX119" s="314"/>
      <c r="AY119" s="333"/>
      <c r="BT119" s="3">
        <f>ROUND(((AQ114*24)/(24-BA113))+(0.3*AQ118),0)</f>
        <v>19</v>
      </c>
      <c r="BU119" s="3" t="str">
        <f>CONCATENATE($BT$116," ",BU116,"m, ",$BT$117," ",BU117,"m ",$BT$118," ",BU118,"m ")</f>
        <v xml:space="preserve">Druchmesser 3,2m, Höhe 3,6m Abstand 2m </v>
      </c>
      <c r="BV119" s="3" t="str">
        <f>CONCATENATE($BT$116," ",BV116,"m, ",$BT$117," ",BV117,"m ",$BT$118," ",BV118,"m ")</f>
        <v xml:space="preserve">Druchmesser 3,2m, Höhe 3,6m Abstand 2m </v>
      </c>
      <c r="BW119" s="3" t="str">
        <f>CONCATENATE($BT$116," ",BW116,"m, ",$BT$117," ",BW117,"m ",$BT$118," ",BW118,"m ")</f>
        <v xml:space="preserve">Druchmesser 3,2m, Höhe 3,6m Abstand 2m </v>
      </c>
      <c r="BX119" s="3" t="str">
        <f>CONCATENATE($BT$116," ",BX116,"m, ",$BT$117," ",BX117,"m ",$BT$118," ",BX118,"m ")</f>
        <v xml:space="preserve">Druchmesser 3,2m, Höhe 3,6m Abstand 2m </v>
      </c>
    </row>
    <row r="120" spans="2:76" ht="39.9" customHeight="1" thickBot="1">
      <c r="F120" s="132"/>
      <c r="G120" s="132"/>
      <c r="H120" s="132"/>
      <c r="I120" s="132"/>
      <c r="J120" s="132"/>
      <c r="K120" s="132"/>
      <c r="L120" s="132"/>
      <c r="M120" s="132"/>
      <c r="N120" s="48"/>
      <c r="W120" s="334" t="s">
        <v>279</v>
      </c>
      <c r="X120" s="335"/>
      <c r="Y120" s="335"/>
      <c r="Z120" s="335"/>
      <c r="AA120" s="335"/>
      <c r="AB120" s="335"/>
      <c r="AC120" s="335"/>
      <c r="AD120" s="336"/>
      <c r="AK120" s="337" t="str">
        <f>CONCATENATE("Formel: (",AL116," W/m² Heizleistung je m² * ", AL114, "m² Wohnfläche )/ 1000 * ",AK112,"h Vollaststunden = ",ROUND(((AL116*AL114)/1000*AK112),0)," kWh je Jahr")</f>
        <v>Formel: (15 W/m² Heizleistung je m² * m² Wohnfläche )/ 1000 * 1555h Vollaststunden = 0 kWh je Jahr</v>
      </c>
      <c r="AL120" s="337"/>
      <c r="AN120" s="47" t="s">
        <v>280</v>
      </c>
      <c r="AO120" s="338"/>
      <c r="AP120" s="338"/>
      <c r="AQ120" s="339" t="str">
        <f>CONCATENATE(AQ117,"€ *",AU120,"%=",ROUND(AQ117*((AU120/100)+1),0)," € a  / ",ROUND(AQ117*((AU120/100)+1)/12,0)," € im Monat anstelle von ",ROUND(AQ117/12,0),"€")</f>
        <v>3600€ *25%=4500 € a  / 375 € im Monat anstelle von 300€</v>
      </c>
      <c r="AR120" s="340" t="str">
        <f>CONCATENATE("267 Öl ", ROUND(((267*AQ116)/1000)/AQ119,0)," kg CO² m²;
182 Gas ", ROUND((182*AQ116)/1000/AQ119,0)," kg CO² m²;   ","401 Strom ", ROUND(((401*AQ116)/1000)/AQ119,0),"kg CO² m²; ", "    Luft WP ", ROUND(((401/1000)*AU117)/1000,0)," kg CO² m²")</f>
        <v>267 Öl 39 kg CO² m²;
182 Gas 27 kg CO² m²;   401 Strom 59kg CO² m²;     Luft WP 8 kg CO² m²</v>
      </c>
      <c r="AS120" s="340"/>
      <c r="AT120" s="341">
        <f>AQ116/AQ119</f>
        <v>147.34299516908212</v>
      </c>
      <c r="AU120" s="3">
        <v>25</v>
      </c>
      <c r="AZ120" s="47" t="s">
        <v>281</v>
      </c>
      <c r="BA120" s="47"/>
      <c r="BB120" s="47"/>
      <c r="BC120" s="47"/>
      <c r="BT120" s="3" t="str">
        <f>IF(BT119&lt;BU115,BU120,IF(AND(BT119&gt;BU115,BT119&lt;BV115),BV120,IF(AND(BT119&gt;BV115,BT119&lt;BW115),BW120,IF(AND(BT119&gt;BW115,BT119&lt;BX115),BX120,"Eine Fachplanung ist erforderlich"))))</f>
        <v>Eine Fachplanung ist erforderlich</v>
      </c>
      <c r="BU120" s="3" t="str">
        <f>CONCATENATE(BU115," kW ",BU119)</f>
        <v xml:space="preserve">6 kW Druchmesser 3,2m, Höhe 3,6m Abstand 2m </v>
      </c>
      <c r="BV120" s="3" t="str">
        <f>CONCATENATE(BV115," kW ",BV119)</f>
        <v xml:space="preserve">8 kW Druchmesser 3,2m, Höhe 3,6m Abstand 2m </v>
      </c>
      <c r="BW120" s="3" t="str">
        <f>CONCATENATE(BW115," kW ",BW114," ",BW119)</f>
        <v xml:space="preserve">10,4 kW (zwei Speicher) Druchmesser 3,2m, Höhe 3,6m Abstand 2m </v>
      </c>
      <c r="BX120" s="3" t="str">
        <f>CONCATENATE(BX115," kW ",BX114," ",BX119)</f>
        <v xml:space="preserve">17,2 kW (zwei Speicher) Druchmesser 3,2m, Höhe 3,6m Abstand 2m </v>
      </c>
    </row>
    <row r="121" spans="2:76" ht="86.25" customHeight="1" thickBot="1">
      <c r="C121" s="342"/>
      <c r="D121" s="343" t="s">
        <v>282</v>
      </c>
      <c r="E121" s="344" t="s">
        <v>283</v>
      </c>
      <c r="F121" s="344"/>
      <c r="G121" s="345" t="s">
        <v>284</v>
      </c>
      <c r="H121" s="345"/>
      <c r="I121" s="346"/>
      <c r="J121" s="347" t="s">
        <v>285</v>
      </c>
      <c r="K121" s="348" t="s">
        <v>286</v>
      </c>
      <c r="L121" s="347" t="s">
        <v>287</v>
      </c>
      <c r="M121" s="347" t="s">
        <v>288</v>
      </c>
      <c r="N121" s="3"/>
      <c r="O121" s="349" t="s">
        <v>289</v>
      </c>
      <c r="P121" s="349" t="s">
        <v>290</v>
      </c>
      <c r="Q121" s="350"/>
      <c r="R121" s="351"/>
      <c r="S121" s="343" t="s">
        <v>282</v>
      </c>
      <c r="T121" s="349"/>
      <c r="U121" s="349"/>
      <c r="V121" s="349" t="s">
        <v>291</v>
      </c>
      <c r="W121" s="352" t="s">
        <v>292</v>
      </c>
      <c r="X121" s="352" t="s">
        <v>293</v>
      </c>
      <c r="Y121" s="353" t="s">
        <v>294</v>
      </c>
      <c r="Z121" s="352" t="s">
        <v>295</v>
      </c>
      <c r="AA121" s="354" t="s">
        <v>296</v>
      </c>
      <c r="AB121" s="354" t="s">
        <v>297</v>
      </c>
      <c r="AC121" s="354" t="s">
        <v>298</v>
      </c>
      <c r="AD121" s="355" t="s">
        <v>299</v>
      </c>
      <c r="AE121" s="356" t="s">
        <v>300</v>
      </c>
      <c r="AF121" s="357" t="s">
        <v>301</v>
      </c>
      <c r="AG121" s="358" t="s">
        <v>302</v>
      </c>
      <c r="AH121" s="321"/>
      <c r="AI121" s="358" t="s">
        <v>303</v>
      </c>
      <c r="AJ121" s="358" t="str">
        <f>CONCATENATE("Instandhaltungsrücklagen über ",AI122, " Jahre")</f>
        <v>Instandhaltungsrücklagen über 20 Jahre</v>
      </c>
      <c r="AK121" s="349" t="s">
        <v>304</v>
      </c>
      <c r="AL121" s="359" t="s">
        <v>305</v>
      </c>
      <c r="AN121" s="360" t="s">
        <v>306</v>
      </c>
      <c r="AO121" s="360"/>
      <c r="AP121" s="360"/>
      <c r="AQ121" s="359" t="s">
        <v>307</v>
      </c>
      <c r="AR121" s="361" t="str">
        <f>CONCATENATE("Treibhausgasemission 
(kg CO2,äq. a je m²) ", "     310 Öl ", ROUND(((((AQ116)*310)/1000)/AQ119)+ROUND(((((AQ115)*AC132)/1000)/AQ119),3),0)," kg CO²m²;
240 Gas ", ROUND(((((AQ115+AQ116)*240)/1000)/AQ119)+ROUND(((((AQ115)*AC132)/1000)/AQ119),3),0)," kg CO²m²; ",AC132," Strom ", ROUND(((((AQ115+AQ116)*AC132)/1000)/AQ119),0)," kg CO²m²")</f>
        <v>Treibhausgasemission 
(kg CO2,äq. a je m²)      310 Öl 62 kg CO²m²;
240 Gas 59 kg CO²m²; 560 Strom 99 kg CO²m²</v>
      </c>
      <c r="AS121" s="361"/>
      <c r="AT121" s="341">
        <f>(AQ116+AQ115)/AQ119</f>
        <v>176.32850241545893</v>
      </c>
      <c r="AZ121" s="362" t="s">
        <v>308</v>
      </c>
      <c r="BA121" s="362" t="s">
        <v>309</v>
      </c>
      <c r="BB121" s="362" t="s">
        <v>310</v>
      </c>
      <c r="BC121" s="362" t="s">
        <v>311</v>
      </c>
      <c r="BT121" s="363" t="s">
        <v>312</v>
      </c>
      <c r="BU121" s="364" t="s">
        <v>313</v>
      </c>
      <c r="BV121" s="364" t="s">
        <v>314</v>
      </c>
    </row>
    <row r="122" spans="2:76" ht="71.25" customHeight="1" thickBot="1">
      <c r="C122" s="365" t="s">
        <v>315</v>
      </c>
      <c r="D122" s="366">
        <v>1</v>
      </c>
      <c r="E122" s="367" t="s">
        <v>316</v>
      </c>
      <c r="F122" s="367"/>
      <c r="G122" s="368">
        <v>8000</v>
      </c>
      <c r="H122" s="369" t="s">
        <v>317</v>
      </c>
      <c r="I122" s="370">
        <v>14000</v>
      </c>
      <c r="J122" s="371"/>
      <c r="K122" s="369"/>
      <c r="L122" s="372"/>
      <c r="M122" s="372"/>
      <c r="N122" s="3"/>
      <c r="O122" s="372">
        <v>1.1000000000000001</v>
      </c>
      <c r="P122" s="373">
        <f t="shared" ref="P122:P128" si="3">ROUND($AQ$116/O122,0)</f>
        <v>55455</v>
      </c>
      <c r="Q122" s="374" t="s">
        <v>21</v>
      </c>
      <c r="R122" s="375" t="str">
        <f>CONCATENATE("310 ÖL Fossil 
",ROUND((((310*P122)/1000)/$AQ$119),0)," kg CO² m²")</f>
        <v>310 ÖL Fossil 
42 kg CO² m²</v>
      </c>
      <c r="S122" s="366">
        <v>1</v>
      </c>
      <c r="T122" s="376" t="s">
        <v>318</v>
      </c>
      <c r="U122" s="377"/>
      <c r="V122" s="378" t="s">
        <v>319</v>
      </c>
      <c r="W122" s="379" t="str">
        <f>CONCATENATE("374","g CO² pro kWh ",ROUND(((374.309646781507/1000)*AQ116)/1000,3)," t CO²")</f>
        <v>374g CO² pro kWh 22,833 t CO²</v>
      </c>
      <c r="X122" s="380" t="str">
        <f>CONCATENATE("310 Fossil ", ROUND(((310/1000)*P122)/1000,3)," t CO²;
210 Bio ", ROUND(((210/1000)*P122)/1000,3)," t CO²;
105 Bio erzeugt ", ROUND(((105/1000)*P122)/1000,3)," t CO²")</f>
        <v>310 Fossil 17,191 t CO²;
210 Bio 11,646 t CO²;
105 Bio erzeugt 5,823 t CO²</v>
      </c>
      <c r="Y122" s="379" t="str">
        <f>CONCATENATE("267 gCO² je l Heizöl zu Heizzwecken(Heizöl S) ",ROUND(((0.002676284)*P122)/10,3)," t CO²")</f>
        <v>267 gCO² je l Heizöl zu Heizzwecken(Heizöl S) 14,841 t CO²</v>
      </c>
      <c r="Z122" s="379" t="str">
        <f>CONCATENATE("266 gCO²je kWh Heizöl leicht ",ROUND(((266/1000)*P122)/1000,3)," t CO²")</f>
        <v>266 gCO²je kWh Heizöl leicht 14,751 t CO²</v>
      </c>
      <c r="AA122" s="381" t="str">
        <f>CONCATENATE("299 gCO²je kWh Heizöl leicht ",ROUND(((299/1000)*P122)/1000,3)," t CO²")</f>
        <v>299 gCO²je kWh Heizöl leicht 16,581 t CO²</v>
      </c>
      <c r="AB122" s="382">
        <f>($AB$119*$AQ$119)/1000</f>
        <v>8.2799999999999994</v>
      </c>
      <c r="AC122" s="383">
        <v>266</v>
      </c>
      <c r="AD122" s="384" t="str">
        <f t="shared" ref="AD122:AD138" si="4">CONCATENATE(ROUND((AC122/1000*P122)/1000,2)," t | ",ROUND((((AC122/10000*P122)/100)*$AD$119),0)," € ")</f>
        <v xml:space="preserve">14,75 t | 2950 € </v>
      </c>
      <c r="AE122" s="385">
        <v>0.11</v>
      </c>
      <c r="AF122" s="386" t="str">
        <f t="shared" ref="AF122:AF138" si="5">CONCATENATE(ROUND(RIGHT(AE122,4)*P122,0)," €| 
Energiekosten &amp; CO² = ",ROUND((((AC122/1000*P122)/1000)*$AD$119)+RIGHT(AE122,4)*P122,0)," €")</f>
        <v>6100 €| 
Energiekosten &amp; CO² = 9050 €</v>
      </c>
      <c r="AG122" s="387" t="str">
        <f t="shared" ref="AG122:AG131" si="6">IF($AQ$117&gt;ROUND((((AC122*P122)/1000)*$AD$119)+RIGHT(AE122,4)*P122,0),"vielleicht Günstiger","vielleicht Teurer")</f>
        <v>vielleicht Teurer</v>
      </c>
      <c r="AH122" s="388">
        <f t="shared" ref="AH122:AH138" si="7">IF(AG122=$AG$116,1,0)</f>
        <v>0</v>
      </c>
      <c r="AI122" s="389">
        <v>20</v>
      </c>
      <c r="AJ122" s="390" t="str">
        <f t="shared" ref="AJ122:AJ145" si="8">CONCATENATE(ROUND(I122/AI122,0),"€ im Jahr")</f>
        <v>700€ im Jahr</v>
      </c>
      <c r="AK122" s="372" t="s">
        <v>320</v>
      </c>
      <c r="AL122" s="391" t="str">
        <f>CONCATENATE(100," €|",200," €|",ROUND(I122/15,0),"€ ")</f>
        <v xml:space="preserve">100 €|200 €|933€ </v>
      </c>
      <c r="AN122" s="392">
        <v>0.03</v>
      </c>
      <c r="AO122" s="393" t="s">
        <v>317</v>
      </c>
      <c r="AP122" s="394">
        <v>0.1</v>
      </c>
      <c r="AQ122" s="303" t="str">
        <f t="shared" ref="AQ122:AQ127" si="9">CONCATENATE("(",$AQ$116*AN122*LEFT($AE122,5)," €| ",,$AQ$116*AP122*LEFT($AE122,5)," €) || ",$AQ$117-($AQ$116*AN122*LEFT($AE122,5))," €/a | ",$AQ$117-($AQ$116*AP122*LEFT($AE122,5))," €/a")</f>
        <v>(201,3 €| 671 €) || 3398,7 €/a | 2929 €/a</v>
      </c>
      <c r="AR122" s="395">
        <f>ROUND(((310*P122)/1000)/$AQ$119,0)</f>
        <v>42</v>
      </c>
      <c r="AS122" s="395"/>
      <c r="AT122" s="83" t="str">
        <f>CONCATENATE("Eine sinnvollere Bewertung (anstelle des Energieausweises nach fiktiver Wohnfläche und Referenzstandort Potsdam) wäre nach Personenbelegung (übliche Nutzung), hier ",AQ118," Personen durch Verbrauch ",AQ116,"kWh, sind ",ROUND(AQ116/AQ118,0)," kWh pro Person. Am besten wäre noch mit CO² bewerten und der tatsächlichen beheizten Wohnfläche / Nutzfläche… Fertig")</f>
        <v>Eine sinnvollere Bewertung (anstelle des Energieausweises nach fiktiver Wohnfläche und Referenzstandort Potsdam) wäre nach Personenbelegung (übliche Nutzung), hier 8 Personen durch Verbrauch 61000kWh, sind 7625 kWh pro Person. Am besten wäre noch mit CO² bewerten und der tatsächlichen beheizten Wohnfläche / Nutzfläche… Fertig</v>
      </c>
      <c r="AU122" s="83"/>
      <c r="AV122" s="396"/>
      <c r="AZ122" s="362" t="s">
        <v>321</v>
      </c>
      <c r="BA122" s="362" t="s">
        <v>322</v>
      </c>
      <c r="BB122" s="362" t="s">
        <v>323</v>
      </c>
      <c r="BC122" s="362" t="s">
        <v>324</v>
      </c>
      <c r="BS122" s="3">
        <v>12</v>
      </c>
      <c r="BT122" s="397" t="s">
        <v>325</v>
      </c>
      <c r="BU122" s="398">
        <v>1</v>
      </c>
      <c r="BV122" s="398">
        <v>0</v>
      </c>
    </row>
    <row r="123" spans="2:76" ht="69.400000000000006" customHeight="1" thickBot="1">
      <c r="C123" s="399" t="s">
        <v>22</v>
      </c>
      <c r="D123" s="366">
        <v>2.1</v>
      </c>
      <c r="E123" s="367" t="s">
        <v>326</v>
      </c>
      <c r="F123" s="367"/>
      <c r="G123" s="368">
        <v>8000</v>
      </c>
      <c r="H123" s="369" t="s">
        <v>317</v>
      </c>
      <c r="I123" s="370">
        <v>14000</v>
      </c>
      <c r="K123" s="371"/>
      <c r="L123" s="372"/>
      <c r="M123" s="372"/>
      <c r="N123" s="3"/>
      <c r="O123" s="372">
        <v>1.1000000000000001</v>
      </c>
      <c r="P123" s="373">
        <f t="shared" si="3"/>
        <v>55455</v>
      </c>
      <c r="Q123" s="374" t="s">
        <v>21</v>
      </c>
      <c r="R123" s="375" t="str">
        <f t="shared" ref="R123:R128" si="10">CONCATENATE("240 Gas Fossil 
",ROUND((((240*P123)/1000)/$AQ$119),0)," kg CO² m²")</f>
        <v>240 Gas Fossil 
32 kg CO² m²</v>
      </c>
      <c r="S123" s="400">
        <v>2.1</v>
      </c>
      <c r="T123" s="401" t="s">
        <v>327</v>
      </c>
      <c r="U123" s="402"/>
      <c r="V123" s="378" t="s">
        <v>328</v>
      </c>
      <c r="W123" s="379" t="str">
        <f>CONCATENATE("289","g CO² pro kWh ",ROUND(((289.48913611004/1000)*AQ116)/1000,3)," t CO²")</f>
        <v>289g CO² pro kWh 17,659 t CO²</v>
      </c>
      <c r="X123" s="403" t="str">
        <f t="shared" ref="X123:X128" si="11">CONCATENATE("240  Erdgas ", ROUND(((240/1000)*P123)/1000,3)," t CO²;
270 Flüssig ", ROUND(((270/1000)*P123)/1000,3)," t CO²;
140 Bio ", ROUND(((140/1000)*P123)/1000,3)," t CO²;
75 Bio erzeugt ", ROUND(((75/1000)*P123)/1000,3)," t CO²;
180 Biogenes Flüssiggas ", ROUND(((180/1000)*P123)/1000,3)," t CO²")</f>
        <v>240  Erdgas 13,309 t CO²;
270 Flüssig 14,973 t CO²;
140 Bio 7,764 t CO²;
75 Bio erzeugt 4,159 t CO²;
180 Biogenes Flüssiggas 9,982 t CO²</v>
      </c>
      <c r="Y123" s="379" t="str">
        <f>CONCATENATE("182 Erdgas, verflüssigt ",ROUND(((182.0448/1000)*P123)/1000,3)," t CO²")</f>
        <v>182 Erdgas, verflüssigt 10,095 t CO²</v>
      </c>
      <c r="Z123" s="379" t="str">
        <f t="shared" ref="Z123:Z128" si="12">CONCATENATE("201 Erdgas ",ROUND(((201/1000)*P123)/1000,3)," t CO²")</f>
        <v>201 Erdgas 11,146 t CO²</v>
      </c>
      <c r="AA123" s="381" t="str">
        <f t="shared" ref="AA123:AA128" si="13">CONCATENATE("235 gCO²je kWh Heizöl leicht ",ROUND(((235/1000)*P122)/1000,3)," t CO²")</f>
        <v>235 gCO²je kWh Heizöl leicht 13,032 t CO²</v>
      </c>
      <c r="AB123" s="382">
        <f t="shared" ref="AB123:AB146" si="14">($AB$119*$AQ$119)/1000</f>
        <v>8.2799999999999994</v>
      </c>
      <c r="AC123" s="404">
        <v>240</v>
      </c>
      <c r="AD123" s="384" t="str">
        <f t="shared" si="4"/>
        <v xml:space="preserve">13,31 t | 2662 € </v>
      </c>
      <c r="AE123" s="385">
        <v>0.11</v>
      </c>
      <c r="AF123" s="386" t="str">
        <f t="shared" si="5"/>
        <v>6100 €| 
Energiekosten &amp; CO² = 8762 €</v>
      </c>
      <c r="AG123" s="387" t="str">
        <f t="shared" si="6"/>
        <v>vielleicht Teurer</v>
      </c>
      <c r="AH123" s="388">
        <f t="shared" si="7"/>
        <v>0</v>
      </c>
      <c r="AI123" s="372">
        <f>$AI$122</f>
        <v>20</v>
      </c>
      <c r="AJ123" s="390" t="str">
        <f t="shared" si="8"/>
        <v>700€ im Jahr</v>
      </c>
      <c r="AK123" s="372" t="s">
        <v>329</v>
      </c>
      <c r="AL123" s="391" t="str">
        <f t="shared" ref="AL123:AL131" si="15">CONCATENATE(100," €|",200," €|",ROUND(I123/15,0),"€ ")</f>
        <v xml:space="preserve">100 €|200 €|933€ </v>
      </c>
      <c r="AN123" s="392">
        <v>0.03</v>
      </c>
      <c r="AO123" s="369" t="s">
        <v>317</v>
      </c>
      <c r="AP123" s="405">
        <v>0.1</v>
      </c>
      <c r="AQ123" s="303" t="str">
        <f t="shared" si="9"/>
        <v>(201,3 €| 671 €) || 3398,7 €/a | 2929 €/a</v>
      </c>
      <c r="AR123" s="395">
        <f t="shared" ref="AR123:AR128" si="16">ROUND(((240*P123)/1000)/$AQ$119,0)</f>
        <v>32</v>
      </c>
      <c r="AS123" s="395"/>
      <c r="AT123" s="83"/>
      <c r="AU123" s="83"/>
      <c r="AV123" s="396"/>
      <c r="AZ123" s="362" t="s">
        <v>330</v>
      </c>
      <c r="BA123" s="362" t="s">
        <v>331</v>
      </c>
      <c r="BB123" s="362" t="s">
        <v>332</v>
      </c>
      <c r="BC123" s="362" t="s">
        <v>333</v>
      </c>
      <c r="BS123" s="3">
        <v>17</v>
      </c>
      <c r="BT123" s="397" t="s">
        <v>334</v>
      </c>
      <c r="BU123" s="398">
        <v>0.9</v>
      </c>
      <c r="BV123" s="398">
        <v>0.1</v>
      </c>
    </row>
    <row r="124" spans="2:76" ht="41.5" customHeight="1" thickBot="1">
      <c r="C124" s="406"/>
      <c r="D124" s="366" t="s">
        <v>335</v>
      </c>
      <c r="E124" s="367" t="s">
        <v>336</v>
      </c>
      <c r="F124" s="367"/>
      <c r="G124" s="368">
        <v>8000</v>
      </c>
      <c r="H124" s="369" t="s">
        <v>317</v>
      </c>
      <c r="I124" s="370">
        <v>14000</v>
      </c>
      <c r="J124" s="371"/>
      <c r="K124" s="369"/>
      <c r="L124" s="372"/>
      <c r="M124" s="372"/>
      <c r="N124" s="3"/>
      <c r="O124" s="372">
        <v>1.1000000000000001</v>
      </c>
      <c r="P124" s="373">
        <f t="shared" si="3"/>
        <v>55455</v>
      </c>
      <c r="Q124" s="374" t="s">
        <v>21</v>
      </c>
      <c r="R124" s="375" t="str">
        <f t="shared" si="10"/>
        <v>240 Gas Fossil 
32 kg CO² m²</v>
      </c>
      <c r="S124" s="400" t="s">
        <v>335</v>
      </c>
      <c r="T124" s="407"/>
      <c r="U124" s="402"/>
      <c r="V124" s="378" t="s">
        <v>328</v>
      </c>
      <c r="W124" s="379" t="str">
        <f>CONCATENATE("289","g CO² pro kWh ",ROUND(((289.48913611004/1000)*AQ116)/1000,3)," t CO²")</f>
        <v>289g CO² pro kWh 17,659 t CO²</v>
      </c>
      <c r="X124" s="403" t="str">
        <f t="shared" si="11"/>
        <v>240  Erdgas 13,309 t CO²;
270 Flüssig 14,973 t CO²;
140 Bio 7,764 t CO²;
75 Bio erzeugt 4,159 t CO²;
180 Biogenes Flüssiggas 9,982 t CO²</v>
      </c>
      <c r="Y124" s="379" t="str">
        <f>CONCATENATE("182 Erdgas, verflüssigt ",ROUND(((182.0448/1000)*AQ116)/1000,3)," t CO²")</f>
        <v>182 Erdgas, verflüssigt 11,105 t CO²</v>
      </c>
      <c r="Z124" s="379" t="str">
        <f t="shared" si="12"/>
        <v>201 Erdgas 11,146 t CO²</v>
      </c>
      <c r="AA124" s="381" t="str">
        <f t="shared" si="13"/>
        <v>235 gCO²je kWh Heizöl leicht 13,032 t CO²</v>
      </c>
      <c r="AB124" s="382">
        <f t="shared" si="14"/>
        <v>8.2799999999999994</v>
      </c>
      <c r="AC124" s="408">
        <f>$AC$123</f>
        <v>240</v>
      </c>
      <c r="AD124" s="384" t="str">
        <f t="shared" si="4"/>
        <v xml:space="preserve">13,31 t | 2662 € </v>
      </c>
      <c r="AE124" s="409">
        <f>$AE$123</f>
        <v>0.11</v>
      </c>
      <c r="AF124" s="386" t="str">
        <f t="shared" si="5"/>
        <v>6100 €| 
Energiekosten &amp; CO² = 8762 €</v>
      </c>
      <c r="AG124" s="387" t="str">
        <f t="shared" si="6"/>
        <v>vielleicht Teurer</v>
      </c>
      <c r="AH124" s="388">
        <f t="shared" si="7"/>
        <v>0</v>
      </c>
      <c r="AI124" s="372">
        <f t="shared" ref="AI124:AI145" si="17">$AI$122</f>
        <v>20</v>
      </c>
      <c r="AJ124" s="390" t="str">
        <f t="shared" si="8"/>
        <v>700€ im Jahr</v>
      </c>
      <c r="AK124" s="372" t="s">
        <v>329</v>
      </c>
      <c r="AL124" s="391" t="str">
        <f t="shared" si="15"/>
        <v xml:space="preserve">100 €|200 €|933€ </v>
      </c>
      <c r="AN124" s="392">
        <v>0.03</v>
      </c>
      <c r="AO124" s="369" t="s">
        <v>317</v>
      </c>
      <c r="AP124" s="405">
        <v>0.1</v>
      </c>
      <c r="AQ124" s="303" t="str">
        <f t="shared" si="9"/>
        <v>(201,3 €| 671 €) || 3398,7 €/a | 2929 €/a</v>
      </c>
      <c r="AR124" s="395">
        <f t="shared" si="16"/>
        <v>32</v>
      </c>
      <c r="AS124" s="410"/>
      <c r="AT124" s="411" t="s">
        <v>337</v>
      </c>
      <c r="AU124" s="412" t="s">
        <v>338</v>
      </c>
      <c r="AV124" s="413"/>
      <c r="AZ124" s="362" t="s">
        <v>82</v>
      </c>
      <c r="BA124" s="362" t="s">
        <v>339</v>
      </c>
      <c r="BB124" s="362" t="s">
        <v>340</v>
      </c>
      <c r="BC124" s="362" t="s">
        <v>341</v>
      </c>
      <c r="BS124" s="3">
        <v>22</v>
      </c>
      <c r="BT124" s="397" t="s">
        <v>342</v>
      </c>
      <c r="BU124" s="398">
        <v>0.8</v>
      </c>
      <c r="BV124" s="398">
        <v>0.2</v>
      </c>
    </row>
    <row r="125" spans="2:76" ht="65.25" customHeight="1" thickBot="1">
      <c r="B125" s="414" t="s">
        <v>343</v>
      </c>
      <c r="C125" s="406"/>
      <c r="D125" s="366" t="s">
        <v>344</v>
      </c>
      <c r="E125" s="367" t="s">
        <v>345</v>
      </c>
      <c r="F125" s="367"/>
      <c r="G125" s="368">
        <v>18000</v>
      </c>
      <c r="H125" s="369" t="s">
        <v>317</v>
      </c>
      <c r="I125" s="370">
        <v>26000</v>
      </c>
      <c r="J125" s="415" t="s">
        <v>346</v>
      </c>
      <c r="K125" s="416" t="str">
        <f>CONCATENATE("20% | 
Invest
",I125,"-",I125*0.2,"= 
Rest ",I125*0.8)</f>
        <v>20% | 
Invest
26000-5200= 
Rest 20800</v>
      </c>
      <c r="L125" s="416" t="str">
        <f>CONCATENATE("30% | 
Invest
",I125,"-",I125*0.3,"= 
Rest ",I125*0.7)</f>
        <v>30% | 
Invest
26000-7800= 
Rest 18200</v>
      </c>
      <c r="M125" s="416" t="str">
        <f>CONCATENATE("30% | 
Invest
",I125,"-",I125*0.3,"= 
Rest ",I125*0.7)</f>
        <v>30% | 
Invest
26000-7800= 
Rest 18200</v>
      </c>
      <c r="N125" s="3"/>
      <c r="O125" s="372">
        <v>1.35</v>
      </c>
      <c r="P125" s="373">
        <f t="shared" si="3"/>
        <v>45185</v>
      </c>
      <c r="Q125" s="374" t="s">
        <v>21</v>
      </c>
      <c r="R125" s="375" t="str">
        <f t="shared" si="10"/>
        <v>240 Gas Fossil 
26 kg CO² m²</v>
      </c>
      <c r="S125" s="400">
        <v>3.1</v>
      </c>
      <c r="T125" s="407"/>
      <c r="U125" s="402"/>
      <c r="V125" s="378" t="s">
        <v>328</v>
      </c>
      <c r="W125" s="379" t="str">
        <f>CONCATENATE("289","g CO² pro kWh ",ROUND(((289.48913611004/1000)*AQ116)/1000,3)," t CO²")</f>
        <v>289g CO² pro kWh 17,659 t CO²</v>
      </c>
      <c r="X125" s="403" t="str">
        <f t="shared" si="11"/>
        <v>240  Erdgas 10,844 t CO²;
270 Flüssig 12,2 t CO²;
140 Bio 6,326 t CO²;
75 Bio erzeugt 3,389 t CO²;
180 Biogenes Flüssiggas 8,133 t CO²</v>
      </c>
      <c r="Y125" s="379" t="str">
        <f>CONCATENATE("182 Erdgas, verflüssigt ",ROUND(((182.0448/1000)*AQ116)/1000,3)," t CO²")</f>
        <v>182 Erdgas, verflüssigt 11,105 t CO²</v>
      </c>
      <c r="Z125" s="379" t="str">
        <f t="shared" si="12"/>
        <v>201 Erdgas 9,082 t CO²</v>
      </c>
      <c r="AA125" s="381" t="str">
        <f t="shared" si="13"/>
        <v>235 gCO²je kWh Heizöl leicht 13,032 t CO²</v>
      </c>
      <c r="AB125" s="382">
        <f t="shared" si="14"/>
        <v>8.2799999999999994</v>
      </c>
      <c r="AC125" s="408">
        <f>$AC$123</f>
        <v>240</v>
      </c>
      <c r="AD125" s="384" t="str">
        <f t="shared" si="4"/>
        <v xml:space="preserve">10,84 t | 2169 € </v>
      </c>
      <c r="AE125" s="409">
        <f>$AE$123</f>
        <v>0.11</v>
      </c>
      <c r="AF125" s="386" t="str">
        <f t="shared" si="5"/>
        <v>4970 €| 
Energiekosten &amp; CO² = 7139 €</v>
      </c>
      <c r="AG125" s="387" t="str">
        <f t="shared" si="6"/>
        <v>vielleicht Teurer</v>
      </c>
      <c r="AH125" s="388">
        <f t="shared" si="7"/>
        <v>0</v>
      </c>
      <c r="AI125" s="372">
        <f t="shared" si="17"/>
        <v>20</v>
      </c>
      <c r="AJ125" s="390" t="str">
        <f>CONCATENATE(ROUND(I125/AI125,0),"€ im Jahr")</f>
        <v>1300€ im Jahr</v>
      </c>
      <c r="AK125" s="372" t="s">
        <v>329</v>
      </c>
      <c r="AL125" s="391" t="str">
        <f t="shared" si="15"/>
        <v xml:space="preserve">100 €|200 €|1733€ </v>
      </c>
      <c r="AN125" s="392">
        <v>0.25</v>
      </c>
      <c r="AO125" s="369" t="s">
        <v>317</v>
      </c>
      <c r="AP125" s="405">
        <v>0.35</v>
      </c>
      <c r="AQ125" s="303" t="str">
        <f t="shared" si="9"/>
        <v>(1677,5 €| 2348,5 €) || 1922,5 €/a | 1251,5 €/a</v>
      </c>
      <c r="AR125" s="395">
        <f t="shared" si="16"/>
        <v>26</v>
      </c>
      <c r="AS125" s="410"/>
      <c r="AT125" s="417" t="s">
        <v>347</v>
      </c>
      <c r="AU125" s="418">
        <v>-10</v>
      </c>
      <c r="AV125" s="419"/>
      <c r="AZ125" s="362" t="s">
        <v>177</v>
      </c>
      <c r="BA125" s="362" t="s">
        <v>348</v>
      </c>
      <c r="BB125" s="362" t="s">
        <v>349</v>
      </c>
      <c r="BC125" s="362" t="s">
        <v>350</v>
      </c>
      <c r="BS125" s="3">
        <v>27</v>
      </c>
      <c r="BT125" s="397" t="s">
        <v>351</v>
      </c>
      <c r="BU125" s="398">
        <v>0.7</v>
      </c>
      <c r="BV125" s="398">
        <v>0.3</v>
      </c>
    </row>
    <row r="126" spans="2:76" ht="70.5" customHeight="1" thickBot="1">
      <c r="B126" s="414"/>
      <c r="C126" s="406"/>
      <c r="D126" s="366" t="s">
        <v>352</v>
      </c>
      <c r="E126" s="367" t="s">
        <v>353</v>
      </c>
      <c r="F126" s="367"/>
      <c r="G126" s="368">
        <v>35000</v>
      </c>
      <c r="H126" s="369" t="s">
        <v>317</v>
      </c>
      <c r="I126" s="370">
        <v>40000</v>
      </c>
      <c r="J126" s="371"/>
      <c r="K126" s="369"/>
      <c r="L126" s="372"/>
      <c r="M126" s="372"/>
      <c r="N126" s="3"/>
      <c r="O126" s="420">
        <v>1.3</v>
      </c>
      <c r="P126" s="373">
        <f t="shared" si="3"/>
        <v>46923</v>
      </c>
      <c r="Q126" s="374" t="s">
        <v>354</v>
      </c>
      <c r="R126" s="375" t="str">
        <f t="shared" si="10"/>
        <v>240 Gas Fossil 
27 kg CO² m²</v>
      </c>
      <c r="S126" s="400" t="s">
        <v>344</v>
      </c>
      <c r="T126" s="407"/>
      <c r="U126" s="402"/>
      <c r="V126" s="378" t="s">
        <v>355</v>
      </c>
      <c r="W126" s="379" t="str">
        <f>CONCATENATE("289","g CO² pro kWh ",ROUND(((289.48913611004/1000)*AQ116)/1000,3)," t CO²")</f>
        <v>289g CO² pro kWh 17,659 t CO²</v>
      </c>
      <c r="X126" s="403" t="str">
        <f t="shared" si="11"/>
        <v>240  Erdgas 11,262 t CO²;
270 Flüssig 12,669 t CO²;
140 Bio 6,569 t CO²;
75 Bio erzeugt 3,519 t CO²;
180 Biogenes Flüssiggas 8,446 t CO²</v>
      </c>
      <c r="Y126" s="379" t="str">
        <f>CONCATENATE("182 Erdgas, verflüssigt ",ROUND(((182.0448/1000)*AQ116)/1000,3)," t CO²")</f>
        <v>182 Erdgas, verflüssigt 11,105 t CO²</v>
      </c>
      <c r="Z126" s="379" t="str">
        <f t="shared" si="12"/>
        <v>201 Erdgas 9,432 t CO²</v>
      </c>
      <c r="AA126" s="381" t="str">
        <f t="shared" si="13"/>
        <v>235 gCO²je kWh Heizöl leicht 10,618 t CO²</v>
      </c>
      <c r="AB126" s="382">
        <f t="shared" si="14"/>
        <v>8.2799999999999994</v>
      </c>
      <c r="AC126" s="408">
        <f>$AC$123</f>
        <v>240</v>
      </c>
      <c r="AD126" s="384" t="str">
        <f t="shared" si="4"/>
        <v xml:space="preserve">11,26 t | 2252 € </v>
      </c>
      <c r="AE126" s="409">
        <f>$AE$123</f>
        <v>0.11</v>
      </c>
      <c r="AF126" s="386" t="str">
        <f t="shared" si="5"/>
        <v>5162 €| 
Energiekosten &amp; CO² = 7414 €</v>
      </c>
      <c r="AG126" s="387" t="str">
        <f t="shared" si="6"/>
        <v>vielleicht Teurer</v>
      </c>
      <c r="AH126" s="388">
        <f t="shared" si="7"/>
        <v>0</v>
      </c>
      <c r="AI126" s="372">
        <f t="shared" si="17"/>
        <v>20</v>
      </c>
      <c r="AJ126" s="390" t="str">
        <f t="shared" si="8"/>
        <v>2000€ im Jahr</v>
      </c>
      <c r="AK126" s="372" t="s">
        <v>329</v>
      </c>
      <c r="AL126" s="391" t="str">
        <f t="shared" si="15"/>
        <v xml:space="preserve">100 €|200 €|2667€ </v>
      </c>
      <c r="AN126" s="392">
        <v>0.03</v>
      </c>
      <c r="AO126" s="369" t="s">
        <v>317</v>
      </c>
      <c r="AP126" s="405">
        <v>0.3</v>
      </c>
      <c r="AQ126" s="303" t="str">
        <f t="shared" si="9"/>
        <v>(201,3 €| 2013 €) || 3398,7 €/a | 1587 €/a</v>
      </c>
      <c r="AR126" s="395">
        <f t="shared" si="16"/>
        <v>27</v>
      </c>
      <c r="AS126" s="410"/>
      <c r="AT126" s="417" t="s">
        <v>356</v>
      </c>
      <c r="AU126" s="418">
        <v>-5</v>
      </c>
      <c r="AV126" s="419"/>
      <c r="AZ126" s="362" t="s">
        <v>357</v>
      </c>
      <c r="BA126" s="362" t="s">
        <v>358</v>
      </c>
      <c r="BB126" s="362" t="s">
        <v>359</v>
      </c>
      <c r="BC126" s="362" t="s">
        <v>360</v>
      </c>
      <c r="BS126" s="3">
        <v>32</v>
      </c>
      <c r="BT126" s="397" t="s">
        <v>361</v>
      </c>
      <c r="BU126" s="398">
        <v>0.6</v>
      </c>
      <c r="BV126" s="398">
        <v>0.4</v>
      </c>
    </row>
    <row r="127" spans="2:76" ht="53.5" customHeight="1" thickBot="1">
      <c r="B127" s="414"/>
      <c r="C127" s="406"/>
      <c r="D127" s="366" t="s">
        <v>362</v>
      </c>
      <c r="E127" s="367" t="s">
        <v>363</v>
      </c>
      <c r="F127" s="367"/>
      <c r="G127" s="368">
        <v>32000</v>
      </c>
      <c r="H127" s="369" t="s">
        <v>317</v>
      </c>
      <c r="I127" s="370">
        <v>35000</v>
      </c>
      <c r="J127" s="371"/>
      <c r="K127" s="384"/>
      <c r="L127" s="421"/>
      <c r="M127" s="422" t="str">
        <f>CONCATENATE("8800€ | 
Invest
",I127,"-",I127-8800,"= 
Rest ",I127-8800)</f>
        <v>8800€ | 
Invest
35000-26200= 
Rest 26200</v>
      </c>
      <c r="N127" s="3"/>
      <c r="O127" s="420">
        <v>1.3</v>
      </c>
      <c r="P127" s="373">
        <f t="shared" si="3"/>
        <v>46923</v>
      </c>
      <c r="Q127" s="374" t="s">
        <v>354</v>
      </c>
      <c r="R127" s="375" t="str">
        <f t="shared" si="10"/>
        <v>240 Gas Fossil 
27 kg CO² m²</v>
      </c>
      <c r="S127" s="400">
        <v>4.0999999999999996</v>
      </c>
      <c r="T127" s="407"/>
      <c r="U127" s="402"/>
      <c r="V127" s="378" t="s">
        <v>355</v>
      </c>
      <c r="W127" s="379" t="str">
        <f>CONCATENATE("289","g CO² pro kWh ",ROUND(((289.48913611004/1000)*AQ116)/1000,3)," t CO²")</f>
        <v>289g CO² pro kWh 17,659 t CO²</v>
      </c>
      <c r="X127" s="403" t="str">
        <f t="shared" si="11"/>
        <v>240  Erdgas 11,262 t CO²;
270 Flüssig 12,669 t CO²;
140 Bio 6,569 t CO²;
75 Bio erzeugt 3,519 t CO²;
180 Biogenes Flüssiggas 8,446 t CO²</v>
      </c>
      <c r="Y127" s="379" t="str">
        <f>CONCATENATE("182 Erdgas, verflüssigt ",ROUND(((182.0448/1000)*AQ116)/1000,3)," t CO²")</f>
        <v>182 Erdgas, verflüssigt 11,105 t CO²</v>
      </c>
      <c r="Z127" s="379" t="str">
        <f t="shared" si="12"/>
        <v>201 Erdgas 9,432 t CO²</v>
      </c>
      <c r="AA127" s="381" t="str">
        <f t="shared" si="13"/>
        <v>235 gCO²je kWh Heizöl leicht 11,027 t CO²</v>
      </c>
      <c r="AB127" s="382">
        <f t="shared" si="14"/>
        <v>8.2799999999999994</v>
      </c>
      <c r="AC127" s="408">
        <f>$AC$123</f>
        <v>240</v>
      </c>
      <c r="AD127" s="384" t="str">
        <f t="shared" si="4"/>
        <v xml:space="preserve">11,26 t | 2252 € </v>
      </c>
      <c r="AE127" s="409">
        <f>$AE$123</f>
        <v>0.11</v>
      </c>
      <c r="AF127" s="386" t="str">
        <f t="shared" si="5"/>
        <v>5162 €| 
Energiekosten &amp; CO² = 7414 €</v>
      </c>
      <c r="AG127" s="387" t="str">
        <f t="shared" si="6"/>
        <v>vielleicht Teurer</v>
      </c>
      <c r="AH127" s="388">
        <f t="shared" si="7"/>
        <v>0</v>
      </c>
      <c r="AI127" s="372">
        <f t="shared" si="17"/>
        <v>20</v>
      </c>
      <c r="AJ127" s="390" t="str">
        <f t="shared" si="8"/>
        <v>1750€ im Jahr</v>
      </c>
      <c r="AK127" s="372" t="s">
        <v>329</v>
      </c>
      <c r="AL127" s="391" t="str">
        <f t="shared" si="15"/>
        <v xml:space="preserve">100 €|200 €|2333€ </v>
      </c>
      <c r="AN127" s="392">
        <v>0.03</v>
      </c>
      <c r="AO127" s="369" t="s">
        <v>317</v>
      </c>
      <c r="AP127" s="405">
        <v>0.2</v>
      </c>
      <c r="AQ127" s="303" t="str">
        <f t="shared" si="9"/>
        <v>(201,3 €| 1342 €) || 3398,7 €/a | 2258 €/a</v>
      </c>
      <c r="AR127" s="395">
        <f t="shared" si="16"/>
        <v>27</v>
      </c>
      <c r="AS127" s="410"/>
      <c r="AT127" s="417" t="s">
        <v>364</v>
      </c>
      <c r="AU127" s="418">
        <v>0</v>
      </c>
      <c r="AV127" s="419"/>
      <c r="AZ127" s="362" t="s">
        <v>365</v>
      </c>
      <c r="BA127" s="362" t="s">
        <v>366</v>
      </c>
      <c r="BB127" s="362" t="s">
        <v>367</v>
      </c>
      <c r="BC127" s="362" t="s">
        <v>368</v>
      </c>
      <c r="BS127" s="3">
        <v>37</v>
      </c>
      <c r="BT127" s="397" t="s">
        <v>369</v>
      </c>
      <c r="BU127" s="398">
        <v>0.5</v>
      </c>
      <c r="BV127" s="398">
        <v>0.5</v>
      </c>
    </row>
    <row r="128" spans="2:76" ht="53.5" customHeight="1" thickBot="1">
      <c r="B128" s="414"/>
      <c r="C128" s="423"/>
      <c r="D128" s="366" t="s">
        <v>370</v>
      </c>
      <c r="E128" s="367" t="s">
        <v>371</v>
      </c>
      <c r="F128" s="367"/>
      <c r="G128" s="368">
        <v>12000</v>
      </c>
      <c r="H128" s="369" t="s">
        <v>317</v>
      </c>
      <c r="I128" s="370">
        <v>25000</v>
      </c>
      <c r="J128" s="424" t="s">
        <v>372</v>
      </c>
      <c r="K128" s="416" t="str">
        <f>CONCATENATE("20% | 
Invest
",I128,"-",I128*0.2,"= 
Rest ",I128*0.8)</f>
        <v>20% | 
Invest
25000-5000= 
Rest 20000</v>
      </c>
      <c r="L128" s="416" t="str">
        <f>CONCATENATE("45% | 
Invest
",I128,"-",I128*0.45,"= 
Rest ",I128*0.55)</f>
        <v>45% | 
Invest
25000-11250= 
Rest 13750</v>
      </c>
      <c r="M128" s="416" t="str">
        <f>CONCATENATE("45% | 
Invest
",I128,"-",I128*0.45,"= 
Rest ",I128*0.55)</f>
        <v>45% | 
Invest
25000-11250= 
Rest 13750</v>
      </c>
      <c r="N128" s="3"/>
      <c r="O128" s="420">
        <v>1.45</v>
      </c>
      <c r="P128" s="373">
        <f t="shared" si="3"/>
        <v>42069</v>
      </c>
      <c r="Q128" s="374" t="s">
        <v>354</v>
      </c>
      <c r="R128" s="375" t="str">
        <f t="shared" si="10"/>
        <v>240 Gas Fossil 
24 kg CO² m²</v>
      </c>
      <c r="S128" s="400" t="s">
        <v>352</v>
      </c>
      <c r="T128" s="425"/>
      <c r="U128" s="402"/>
      <c r="V128" s="426" t="s">
        <v>373</v>
      </c>
      <c r="W128" s="427" t="str">
        <f>CONCATENATE("289","g CO² pro kWh ",ROUND(((289.48913611004/1000)*AQ116)/1000,3)," t CO²")</f>
        <v>289g CO² pro kWh 17,659 t CO²</v>
      </c>
      <c r="X128" s="428" t="str">
        <f t="shared" si="11"/>
        <v>240  Erdgas 10,097 t CO²;
270 Flüssig 11,359 t CO²;
140 Bio 5,89 t CO²;
75 Bio erzeugt 3,155 t CO²;
180 Biogenes Flüssiggas 7,572 t CO²</v>
      </c>
      <c r="Y128" s="429" t="str">
        <f>CONCATENATE("182 Erdgas, verflüssigt ",ROUND(((182.0448/1000)*AQ116)/1000,3)," t CO²")</f>
        <v>182 Erdgas, verflüssigt 11,105 t CO²</v>
      </c>
      <c r="Z128" s="430" t="str">
        <f t="shared" si="12"/>
        <v>201 Erdgas 8,456 t CO²</v>
      </c>
      <c r="AA128" s="431" t="str">
        <f t="shared" si="13"/>
        <v>235 gCO²je kWh Heizöl leicht 11,027 t CO²</v>
      </c>
      <c r="AB128" s="432">
        <f t="shared" si="14"/>
        <v>8.2799999999999994</v>
      </c>
      <c r="AC128" s="408">
        <f>$AC$123</f>
        <v>240</v>
      </c>
      <c r="AD128" s="433" t="str">
        <f t="shared" si="4"/>
        <v xml:space="preserve">10,1 t | 2019 € </v>
      </c>
      <c r="AE128" s="409">
        <f>$AE$123</f>
        <v>0.11</v>
      </c>
      <c r="AF128" s="386" t="str">
        <f t="shared" si="5"/>
        <v>4628 €| 
Energiekosten &amp; CO² = 6647 €</v>
      </c>
      <c r="AG128" s="387" t="str">
        <f t="shared" si="6"/>
        <v>vielleicht Teurer</v>
      </c>
      <c r="AH128" s="388">
        <f t="shared" si="7"/>
        <v>0</v>
      </c>
      <c r="AI128" s="372">
        <f t="shared" si="17"/>
        <v>20</v>
      </c>
      <c r="AJ128" s="390" t="str">
        <f t="shared" si="8"/>
        <v>1250€ im Jahr</v>
      </c>
      <c r="AK128" s="372" t="s">
        <v>329</v>
      </c>
      <c r="AL128" s="391" t="str">
        <f t="shared" si="15"/>
        <v xml:space="preserve">100 €|200 €|1667€ </v>
      </c>
      <c r="AN128" s="392">
        <v>0.03</v>
      </c>
      <c r="AO128" s="369" t="s">
        <v>317</v>
      </c>
      <c r="AP128" s="405">
        <v>0.4</v>
      </c>
      <c r="AQ128" s="303" t="str">
        <f>CONCATENATE("(",$AQ$116*AN128*LEFT($AE128,5)," €| ",,$AQ$116*AP128*LEFT($AE128,5)," €) || ",$AQ$117-($AQ$116*AN128*LEFT($AE128,5))," €/a | ",$AQ$117-($AQ$116*AP128*LEFT($AE128,4))," €/a")</f>
        <v>(201,3 €| 2684 €) || 3398,7 €/a | 916 €/a</v>
      </c>
      <c r="AR128" s="395">
        <f t="shared" si="16"/>
        <v>24</v>
      </c>
      <c r="AS128" s="410"/>
      <c r="AT128" s="417" t="s">
        <v>374</v>
      </c>
      <c r="AU128" s="418">
        <v>5</v>
      </c>
      <c r="AV128" s="419"/>
      <c r="BS128" s="3">
        <v>42</v>
      </c>
      <c r="BT128" s="397" t="s">
        <v>375</v>
      </c>
      <c r="BU128" s="398">
        <v>0.4</v>
      </c>
      <c r="BV128" s="398">
        <v>0.6</v>
      </c>
    </row>
    <row r="129" spans="2:74" ht="53.5" customHeight="1" thickTop="1" thickBot="1">
      <c r="B129" s="414"/>
      <c r="C129" s="399" t="s">
        <v>376</v>
      </c>
      <c r="D129" s="366">
        <v>3.1</v>
      </c>
      <c r="E129" s="367" t="s">
        <v>377</v>
      </c>
      <c r="F129" s="367"/>
      <c r="G129" s="368">
        <v>12000</v>
      </c>
      <c r="H129" s="369" t="s">
        <v>317</v>
      </c>
      <c r="I129" s="370">
        <v>18000</v>
      </c>
      <c r="J129" s="424" t="s">
        <v>378</v>
      </c>
      <c r="K129" s="416" t="str">
        <f t="shared" ref="K129:K137" si="18">CONCATENATE("20% | 
Invest
",I129,"-",I129*0.2,"= 
Rest ",I129*0.8)</f>
        <v>20% | 
Invest
18000-3600= 
Rest 14400</v>
      </c>
      <c r="L129" s="416" t="str">
        <f t="shared" ref="L129:L135" si="19">CONCATENATE("45% | 
Invest
",I129,"-",I129*0.45,"= 
Rest ",I129*0.55)</f>
        <v>45% | 
Invest
18000-8100= 
Rest 9900</v>
      </c>
      <c r="M129" s="416" t="str">
        <f t="shared" ref="M129:M135" si="20">CONCATENATE("45% | 
Invest
",I129,"-",I129*0.45,"= 
Rest ",I129*0.55)</f>
        <v>45% | 
Invest
18000-8100= 
Rest 9900</v>
      </c>
      <c r="N129" s="3"/>
      <c r="O129" s="434">
        <v>4</v>
      </c>
      <c r="P129" s="373" t="str">
        <f>CONCATENATE(ROUND($AQ$116/O129,0),)</f>
        <v>15250</v>
      </c>
      <c r="Q129" s="374" t="s">
        <v>379</v>
      </c>
      <c r="R129" s="375" t="str">
        <f>CONCATENATE("20 Holz
",ROUND((((20*P129)/1000)/$AQ$119),0)," kg CO² m²")</f>
        <v>20 Holz
1 kg CO² m²</v>
      </c>
      <c r="S129" s="435">
        <v>3.1</v>
      </c>
      <c r="T129" s="436" t="s">
        <v>380</v>
      </c>
      <c r="U129" s="437" t="s">
        <v>381</v>
      </c>
      <c r="V129" s="438">
        <v>0.2</v>
      </c>
      <c r="W129" s="439" t="str">
        <f>CONCATENATE("25 ","g CO² pro kWh ",ROUND(((25.0687519885915 /1000)*AQ116)/1000,3)," t CO²")</f>
        <v>25 g CO² pro kWh 1,529 t CO²</v>
      </c>
      <c r="X129" s="440" t="str">
        <f>CONCATENATE("20 ","g CO² pro kWh ",ROUND(((20/1000)*P129)/1000,3)," t CO²")</f>
        <v>20 g CO² pro kWh 0,305 t CO²</v>
      </c>
      <c r="Y129" s="427"/>
      <c r="Z129" s="379" t="str">
        <f>CONCATENATE("27 Biomasse Holz ",ROUND(((27/1000)*AQ116)/1000,3)," t CO²")</f>
        <v>27 Biomasse Holz 1,647 t CO²</v>
      </c>
      <c r="AA129" s="441" t="str">
        <f>CONCATENATE("8 Hackschnitzel ",ROUND(((8/1000)*AQ118)/1000,3)," t CO²")</f>
        <v>8 Hackschnitzel 0 t CO²</v>
      </c>
      <c r="AB129" s="442">
        <f t="shared" si="14"/>
        <v>8.2799999999999994</v>
      </c>
      <c r="AC129" s="443">
        <v>29</v>
      </c>
      <c r="AD129" s="444" t="str">
        <f t="shared" si="4"/>
        <v xml:space="preserve">0,44 t | 88 € </v>
      </c>
      <c r="AE129" s="385">
        <v>0.06</v>
      </c>
      <c r="AF129" s="386" t="str">
        <f t="shared" si="5"/>
        <v>915 €| 
Energiekosten &amp; CO² = 1003 €</v>
      </c>
      <c r="AG129" s="387" t="str">
        <f t="shared" si="6"/>
        <v>vielleicht Teurer</v>
      </c>
      <c r="AH129" s="388">
        <f t="shared" si="7"/>
        <v>0</v>
      </c>
      <c r="AI129" s="372">
        <f t="shared" si="17"/>
        <v>20</v>
      </c>
      <c r="AJ129" s="390" t="str">
        <f t="shared" si="8"/>
        <v>900€ im Jahr</v>
      </c>
      <c r="AK129" s="372" t="s">
        <v>382</v>
      </c>
      <c r="AL129" s="391" t="str">
        <f t="shared" si="15"/>
        <v xml:space="preserve">100 €|200 €|1200€ </v>
      </c>
      <c r="AN129" s="392">
        <v>0.03</v>
      </c>
      <c r="AO129" s="369" t="s">
        <v>317</v>
      </c>
      <c r="AP129" s="405">
        <v>0.4</v>
      </c>
      <c r="AQ129" s="303" t="str">
        <f>CONCATENATE("(",$AQ$116*AN129*LEFT($AE129,5)," €| ",,$AQ$116*AP129*LEFT($AE129,5)," €) || ",$AQ$117-($AQ$116*AN129*LEFT($AE129,5))," €/a | ",$AQ$117-($AQ$116*AP129*LEFT($AE129,5))," €/a")</f>
        <v>(109,8 €| 1464 €) || 3490,2 €/a | 2136 €/a</v>
      </c>
      <c r="AR129" s="395">
        <f>ROUND(((20*P129)/1000)/$AQ$119,0)</f>
        <v>1</v>
      </c>
      <c r="AS129" s="410"/>
      <c r="AT129" s="417" t="s">
        <v>383</v>
      </c>
      <c r="AU129" s="418">
        <v>12</v>
      </c>
      <c r="AV129" s="419"/>
      <c r="BS129" s="3">
        <v>47</v>
      </c>
      <c r="BT129" s="397" t="s">
        <v>384</v>
      </c>
      <c r="BU129" s="398">
        <v>0.3</v>
      </c>
      <c r="BV129" s="398">
        <v>0.7</v>
      </c>
    </row>
    <row r="130" spans="2:74" ht="53.5" customHeight="1" thickBot="1">
      <c r="B130" s="414"/>
      <c r="C130" s="406"/>
      <c r="D130" s="366">
        <v>3.2</v>
      </c>
      <c r="E130" s="367" t="s">
        <v>385</v>
      </c>
      <c r="F130" s="367"/>
      <c r="G130" s="368">
        <v>20000</v>
      </c>
      <c r="H130" s="369" t="s">
        <v>317</v>
      </c>
      <c r="I130" s="370">
        <v>27000</v>
      </c>
      <c r="J130" s="424" t="s">
        <v>378</v>
      </c>
      <c r="K130" s="416" t="str">
        <f t="shared" si="18"/>
        <v>20% | 
Invest
27000-5400= 
Rest 21600</v>
      </c>
      <c r="L130" s="416" t="str">
        <f t="shared" si="19"/>
        <v>45% | 
Invest
27000-12150= 
Rest 14850</v>
      </c>
      <c r="M130" s="416" t="str">
        <f t="shared" si="20"/>
        <v>45% | 
Invest
27000-12150= 
Rest 14850</v>
      </c>
      <c r="N130" s="3"/>
      <c r="O130" s="434">
        <v>4.8</v>
      </c>
      <c r="P130" s="445" t="str">
        <f>CONCATENATE(ROUND($AQ$116/O130,0)," kg; ",ROUND(($AQ$116/O130)/650,0)," m³" )</f>
        <v>12708 kg; 20 m³</v>
      </c>
      <c r="Q130" s="374" t="s">
        <v>379</v>
      </c>
      <c r="R130" s="375" t="str">
        <f>CONCATENATE("20 Holz
",ROUND((((20*(ROUND($AQ$116/O130,0)))/1000)/$AQ$119),0)," kg CO² m²")</f>
        <v>20 Holz
1 kg CO² m²</v>
      </c>
      <c r="S130" s="435">
        <v>3.2</v>
      </c>
      <c r="T130" s="446"/>
      <c r="U130" s="447"/>
      <c r="V130" s="372">
        <v>0.2</v>
      </c>
      <c r="W130" s="448" t="str">
        <f>CONCATENATE("29","g CO² pro kWh ",ROUND(((29.2066605448948 /1000)*AQ116)/1000,3)," t CO²")</f>
        <v>29g CO² pro kWh 1,782 t CO²</v>
      </c>
      <c r="X130" s="449" t="e">
        <f>CONCATENATE("20 ","g CO² pro kWh ",ROUND(((20/1000)*P130)/1000,3)," t CO²")</f>
        <v>#VALUE!</v>
      </c>
      <c r="Y130" s="450">
        <v>0</v>
      </c>
      <c r="Z130" s="379" t="str">
        <f>CONCATENATE("36 Pellets ",ROUND(((36/1000)*AQ116)/1000,3)," t CO²")</f>
        <v>36 Pellets 2,196 t CO²</v>
      </c>
      <c r="AA130" s="381" t="str">
        <f>CONCATENATE("21 Pellets ",ROUND(((21/1000)*AQ117)/1000,3)," t CO²")</f>
        <v>21 Pellets 0,076 t CO²</v>
      </c>
      <c r="AB130" s="382">
        <f t="shared" si="14"/>
        <v>8.2799999999999994</v>
      </c>
      <c r="AC130" s="389">
        <v>23</v>
      </c>
      <c r="AD130" s="451" t="e">
        <f t="shared" si="4"/>
        <v>#VALUE!</v>
      </c>
      <c r="AE130" s="385">
        <v>0.06</v>
      </c>
      <c r="AF130" s="386" t="e">
        <f t="shared" si="5"/>
        <v>#VALUE!</v>
      </c>
      <c r="AG130" s="387" t="e">
        <f t="shared" si="6"/>
        <v>#VALUE!</v>
      </c>
      <c r="AH130" s="388" t="e">
        <f t="shared" si="7"/>
        <v>#VALUE!</v>
      </c>
      <c r="AI130" s="372">
        <f t="shared" si="17"/>
        <v>20</v>
      </c>
      <c r="AJ130" s="390" t="str">
        <f t="shared" si="8"/>
        <v>1350€ im Jahr</v>
      </c>
      <c r="AK130" s="372" t="s">
        <v>382</v>
      </c>
      <c r="AL130" s="391" t="str">
        <f t="shared" si="15"/>
        <v xml:space="preserve">100 €|200 €|1800€ </v>
      </c>
      <c r="AN130" s="392">
        <v>0.03</v>
      </c>
      <c r="AO130" s="369" t="s">
        <v>317</v>
      </c>
      <c r="AP130" s="405">
        <v>0.4</v>
      </c>
      <c r="AQ130" s="303" t="str">
        <f>CONCATENATE("(",$AQ$116*AN130*LEFT($AE130,5)," €| ",,$AQ$116*AP130*LEFT($AE130,5)," €) || ",$AQ$117-($AQ$116*AN130*LEFT($AE130,5))," €/a | ",$AQ$117-($AQ$116*AP130*LEFT($AE130,5))," €/a")</f>
        <v>(109,8 €| 1464 €) || 3490,2 €/a | 2136 €/a</v>
      </c>
      <c r="AR130" s="395" t="e">
        <f>ROUND(((20*P130)/1000)/$AQ$119,0)</f>
        <v>#VALUE!</v>
      </c>
      <c r="AS130" s="410"/>
      <c r="AT130" s="417" t="s">
        <v>386</v>
      </c>
      <c r="AU130" s="418">
        <v>20</v>
      </c>
      <c r="AV130" s="419"/>
      <c r="BS130" s="3">
        <v>52</v>
      </c>
      <c r="BT130" s="397" t="s">
        <v>387</v>
      </c>
      <c r="BU130" s="398">
        <v>0.2</v>
      </c>
      <c r="BV130" s="398">
        <v>0.8</v>
      </c>
    </row>
    <row r="131" spans="2:74" ht="53.5" customHeight="1" thickBot="1">
      <c r="B131" s="414"/>
      <c r="C131" s="423"/>
      <c r="D131" s="366">
        <v>3.3</v>
      </c>
      <c r="E131" s="367" t="s">
        <v>388</v>
      </c>
      <c r="F131" s="367"/>
      <c r="G131" s="368">
        <v>35000</v>
      </c>
      <c r="H131" s="369" t="s">
        <v>317</v>
      </c>
      <c r="I131" s="370">
        <v>40000</v>
      </c>
      <c r="J131" s="424" t="s">
        <v>378</v>
      </c>
      <c r="K131" s="416" t="str">
        <f t="shared" si="18"/>
        <v>20% | 
Invest
40000-8000= 
Rest 32000</v>
      </c>
      <c r="L131" s="416" t="str">
        <f t="shared" si="19"/>
        <v>45% | 
Invest
40000-18000= 
Rest 22000</v>
      </c>
      <c r="M131" s="416" t="str">
        <f t="shared" si="20"/>
        <v>45% | 
Invest
40000-18000= 
Rest 22000</v>
      </c>
      <c r="N131" s="3"/>
      <c r="O131" s="434">
        <v>4.8</v>
      </c>
      <c r="P131" s="445" t="str">
        <f>CONCATENATE(ROUND($AQ$116/O131,0)," kg; ",ROUND(($AQ$116/O131)/650,0)," m³" )</f>
        <v>12708 kg; 20 m³</v>
      </c>
      <c r="Q131" s="374" t="s">
        <v>379</v>
      </c>
      <c r="R131" s="375" t="str">
        <f>CONCATENATE("20 Holz
",ROUND((((20*(ROUND($AQ$116/O130,0)))/1000)/$AQ$119),0)," kg CO² m²")</f>
        <v>20 Holz
1 kg CO² m²</v>
      </c>
      <c r="S131" s="435">
        <v>3.3</v>
      </c>
      <c r="T131" s="452"/>
      <c r="U131" s="447"/>
      <c r="V131" s="372">
        <v>0.2</v>
      </c>
      <c r="W131" s="448" t="str">
        <f>CONCATENATE("29 ","g CO² pro kWh ",ROUND(((29.2066605448948 /1000)*AQ116)/1000,3)," t CO²")</f>
        <v>29 g CO² pro kWh 1,782 t CO²</v>
      </c>
      <c r="X131" s="449" t="e">
        <f>CONCATENATE("20 ","g CO² pro kWh ",ROUND(((20/1000)*P131)/1000,3)," t CO²")</f>
        <v>#VALUE!</v>
      </c>
      <c r="Y131" s="450">
        <v>0</v>
      </c>
      <c r="Z131" s="379" t="str">
        <f>CONCATENATE("36 Pellets ",ROUND(((36/1000)*AQ119)/1000,3)," t CO²")</f>
        <v>36 Pellets 0,015 t CO²</v>
      </c>
      <c r="AA131" s="381" t="str">
        <f>CONCATENATE("21 Pellets ",ROUND(((21/1000)*AQ116)/1000,3)," t CO²")</f>
        <v>21 Pellets 1,281 t CO²</v>
      </c>
      <c r="AB131" s="382">
        <f t="shared" si="14"/>
        <v>8.2799999999999994</v>
      </c>
      <c r="AC131" s="389">
        <v>23</v>
      </c>
      <c r="AD131" s="451" t="e">
        <f t="shared" si="4"/>
        <v>#VALUE!</v>
      </c>
      <c r="AE131" s="385">
        <v>0.06</v>
      </c>
      <c r="AF131" s="386" t="e">
        <f t="shared" si="5"/>
        <v>#VALUE!</v>
      </c>
      <c r="AG131" s="387" t="e">
        <f t="shared" si="6"/>
        <v>#VALUE!</v>
      </c>
      <c r="AH131" s="388" t="e">
        <f t="shared" si="7"/>
        <v>#VALUE!</v>
      </c>
      <c r="AI131" s="372">
        <f t="shared" si="17"/>
        <v>20</v>
      </c>
      <c r="AJ131" s="390" t="str">
        <f t="shared" si="8"/>
        <v>2000€ im Jahr</v>
      </c>
      <c r="AK131" s="372" t="s">
        <v>382</v>
      </c>
      <c r="AL131" s="391" t="str">
        <f t="shared" si="15"/>
        <v xml:space="preserve">100 €|200 €|2667€ </v>
      </c>
      <c r="AN131" s="392">
        <v>0.03</v>
      </c>
      <c r="AO131" s="369" t="s">
        <v>317</v>
      </c>
      <c r="AP131" s="405">
        <v>0.4</v>
      </c>
      <c r="AQ131" s="303" t="str">
        <f>CONCATENATE("(",$AQ$116*AN131*LEFT($AE131,5)," €| ",,$AQ$116*AP131*LEFT($AE131,5)," €) || ",$AQ$117-($AQ$116*AN131*LEFT($AE131,5))," €/a | ",$AQ$117-($AQ$116*AP131*LEFT($AE131,5))," €/a")</f>
        <v>(109,8 €| 1464 €) || 3490,2 €/a | 2136 €/a</v>
      </c>
      <c r="AR131" s="395" t="e">
        <f>ROUND(((20*P131)/1000)/$AQ$119,0)</f>
        <v>#VALUE!</v>
      </c>
      <c r="AS131" s="410"/>
      <c r="AT131" s="417" t="s">
        <v>389</v>
      </c>
      <c r="AU131" s="418">
        <v>30</v>
      </c>
      <c r="AV131" s="419"/>
      <c r="BT131" s="397" t="s">
        <v>390</v>
      </c>
      <c r="BU131" s="398">
        <v>0.1</v>
      </c>
      <c r="BV131" s="398">
        <v>0.9</v>
      </c>
    </row>
    <row r="132" spans="2:74" ht="60.3" customHeight="1">
      <c r="B132" s="414"/>
      <c r="C132" s="399" t="s">
        <v>81</v>
      </c>
      <c r="D132" s="366">
        <v>4.0999999999999996</v>
      </c>
      <c r="E132" s="367" t="s">
        <v>391</v>
      </c>
      <c r="F132" s="367"/>
      <c r="G132" s="368">
        <v>18000</v>
      </c>
      <c r="H132" s="369" t="s">
        <v>317</v>
      </c>
      <c r="I132" s="370">
        <v>25000</v>
      </c>
      <c r="J132" s="424" t="s">
        <v>392</v>
      </c>
      <c r="K132" s="416" t="str">
        <f t="shared" si="18"/>
        <v>20% | 
Invest
25000-5000= 
Rest 20000</v>
      </c>
      <c r="L132" s="416" t="str">
        <f t="shared" si="19"/>
        <v>45% | 
Invest
25000-11250= 
Rest 13750</v>
      </c>
      <c r="M132" s="416" t="str">
        <f t="shared" si="20"/>
        <v>45% | 
Invest
25000-11250= 
Rest 13750</v>
      </c>
      <c r="N132" s="3"/>
      <c r="O132" s="453">
        <v>3.2</v>
      </c>
      <c r="P132" s="373">
        <f>ROUND($AQ$116/O132,0)</f>
        <v>19063</v>
      </c>
      <c r="Q132" s="374" t="s">
        <v>393</v>
      </c>
      <c r="R132" s="375" t="str">
        <f t="shared" ref="R132:R140" si="21">CONCATENATE("560 Netzbezug
",ROUND((((560*P132)/1000)/$AQ$119),0)," kg CO² m²")</f>
        <v>560 Netzbezug
26 kg CO² m²</v>
      </c>
      <c r="S132" s="435">
        <v>4.0999999999999996</v>
      </c>
      <c r="T132" s="436" t="s">
        <v>394</v>
      </c>
      <c r="U132" s="447"/>
      <c r="V132" s="454" t="s">
        <v>395</v>
      </c>
      <c r="W132" s="455" t="str">
        <f>CONCATENATE("483","g CO² pro kWh ",ROUND(((483.962541063458  /1000)*AQ116)/1000,3)," t CO²")</f>
        <v>483g CO² pro kWh 29,522 t CO²</v>
      </c>
      <c r="X132" s="403" t="str">
        <f t="shared" ref="X132:X138" si="22">CONCATENATE("560 Netzbezug ", ROUND(((560/1000)*P132)/1000,3)," t CO²;
0 Gebäude nah erzeugt")</f>
        <v>560 Netzbezug 10,675 t CO²;
0 Gebäude nah erzeugt</v>
      </c>
      <c r="Y132" s="450">
        <v>0</v>
      </c>
      <c r="Z132" s="379" t="str">
        <f t="shared" ref="Z132:Z138" si="23">CONCATENATE("366 Netzbezug ", ROUND(((366/1000)*P132)/1000,3)," t CO²")</f>
        <v>366 Netzbezug 6,977 t CO²</v>
      </c>
      <c r="AA132" s="381" t="str">
        <f t="shared" ref="AA132:AA138" si="24">CONCATENATE("532 Netzbezug ", ROUND(((532/1000)*P132)/1000,3)," t CO²")</f>
        <v>532 Netzbezug 10,142 t CO²</v>
      </c>
      <c r="AB132" s="382">
        <f t="shared" si="14"/>
        <v>8.2799999999999994</v>
      </c>
      <c r="AC132" s="389">
        <v>560</v>
      </c>
      <c r="AD132" s="451" t="str">
        <f t="shared" si="4"/>
        <v xml:space="preserve">10,68 t | 2135 € </v>
      </c>
      <c r="AE132" s="385">
        <v>0.22</v>
      </c>
      <c r="AF132" s="386" t="str">
        <f t="shared" si="5"/>
        <v>4194 €| 
Energiekosten &amp; CO² = 6329 €</v>
      </c>
      <c r="AG132" s="387" t="str">
        <f>IF($AQ$117&gt;ROUND((((AC133*P132)/1000)*$AD$119)+RIGHT(AE132,4)*P132,0),"vielleicht Günstiger","vielleicht Teurer")</f>
        <v>vielleicht Teurer</v>
      </c>
      <c r="AH132" s="388">
        <f t="shared" si="7"/>
        <v>0</v>
      </c>
      <c r="AI132" s="372">
        <f t="shared" si="17"/>
        <v>20</v>
      </c>
      <c r="AJ132" s="390" t="str">
        <f t="shared" si="8"/>
        <v>1250€ im Jahr</v>
      </c>
      <c r="AK132" s="372" t="s">
        <v>396</v>
      </c>
      <c r="AL132" s="391" t="str">
        <f>CONCATENATE(0," €|",200," €|",ROUND(I132/15,0),"€ ")</f>
        <v xml:space="preserve">0 €|200 €|1667€ </v>
      </c>
      <c r="AN132" s="392">
        <v>0.03</v>
      </c>
      <c r="AO132" s="369" t="s">
        <v>317</v>
      </c>
      <c r="AP132" s="405">
        <v>0.35</v>
      </c>
      <c r="AQ132" s="303" t="str">
        <f>CONCATENATE("(",$AQ$116*AN132*LEFT($AE132,5)," €| ",,$AQ$116*AP132*LEFT($AE132,5),") € || ",$AQ$117-($AQ$116*AN132*LEFT($AE132,5))," €/a | ",AF132," €/a")</f>
        <v>(402,6 €| 4697) € || 3197,4 €/a | 4194 €| 
Energiekosten &amp; CO² = 6329 € €/a</v>
      </c>
      <c r="AR132" s="395">
        <f t="shared" ref="AR132:AR140" si="25">ROUND(((560*P132)/1000)/$AQ$119,0)</f>
        <v>26</v>
      </c>
      <c r="AS132" s="410"/>
      <c r="AT132" s="417" t="s">
        <v>397</v>
      </c>
      <c r="AU132" s="418">
        <v>40</v>
      </c>
      <c r="AV132" s="419"/>
    </row>
    <row r="133" spans="2:74" ht="53.5" customHeight="1">
      <c r="B133" s="414"/>
      <c r="C133" s="406"/>
      <c r="D133" s="366">
        <v>4.2</v>
      </c>
      <c r="E133" s="367" t="s">
        <v>398</v>
      </c>
      <c r="F133" s="367"/>
      <c r="G133" s="368">
        <v>28000</v>
      </c>
      <c r="H133" s="369" t="s">
        <v>317</v>
      </c>
      <c r="I133" s="370">
        <v>32000</v>
      </c>
      <c r="J133" s="424" t="s">
        <v>372</v>
      </c>
      <c r="K133" s="416" t="str">
        <f t="shared" si="18"/>
        <v>20% | 
Invest
32000-6400= 
Rest 25600</v>
      </c>
      <c r="L133" s="416" t="str">
        <f t="shared" si="19"/>
        <v>45% | 
Invest
32000-14400= 
Rest 17600</v>
      </c>
      <c r="M133" s="416" t="str">
        <f t="shared" si="20"/>
        <v>45% | 
Invest
32000-14400= 
Rest 17600</v>
      </c>
      <c r="N133" s="3"/>
      <c r="O133" s="453">
        <v>3.6</v>
      </c>
      <c r="P133" s="373">
        <f>ROUND($AQ$116/O133,0)</f>
        <v>16944</v>
      </c>
      <c r="Q133" s="374" t="s">
        <v>393</v>
      </c>
      <c r="R133" s="375" t="str">
        <f t="shared" si="21"/>
        <v>560 Netzbezug
23 kg CO² m²</v>
      </c>
      <c r="S133" s="456">
        <v>4.2</v>
      </c>
      <c r="T133" s="446"/>
      <c r="U133" s="447"/>
      <c r="V133" s="454"/>
      <c r="W133" s="455" t="str">
        <f>CONCATENATE("483 ","g CO² pro kWh ",ROUND(((483.962541063458  /1000)*AQ116)/1000,3)," t CO²")</f>
        <v>483 g CO² pro kWh 29,522 t CO²</v>
      </c>
      <c r="X133" s="403" t="str">
        <f t="shared" si="22"/>
        <v>560 Netzbezug 9,489 t CO²;
0 Gebäude nah erzeugt</v>
      </c>
      <c r="Y133" s="403" t="str">
        <f>CONCATENATE("401 Strom (Strommix Deutschland 2019) ",ROUND(((401/1000)*P133)/1000,3)," t CO²")</f>
        <v>401 Strom (Strommix Deutschland 2019) 6,795 t CO²</v>
      </c>
      <c r="Z133" s="379" t="str">
        <f>CONCATENATE("366 Netzbezug ", ROUND(((366/1000)*P133)/1000,3)," t CO²")</f>
        <v>366 Netzbezug 6,202 t CO²</v>
      </c>
      <c r="AA133" s="381" t="str">
        <f t="shared" si="24"/>
        <v>532 Netzbezug 9,014 t CO²</v>
      </c>
      <c r="AB133" s="382">
        <f t="shared" si="14"/>
        <v>8.2799999999999994</v>
      </c>
      <c r="AC133" s="372">
        <f>$AC$132</f>
        <v>560</v>
      </c>
      <c r="AD133" s="451" t="str">
        <f t="shared" si="4"/>
        <v xml:space="preserve">9,49 t | 1898 € </v>
      </c>
      <c r="AE133" s="409">
        <f>$AE$132</f>
        <v>0.22</v>
      </c>
      <c r="AF133" s="386" t="str">
        <f t="shared" si="5"/>
        <v>3728 €| 
Energiekosten &amp; CO² = 5625 €</v>
      </c>
      <c r="AG133" s="387" t="str">
        <f>IF($AQ$117&gt;ROUND((((AC133*P133)/1000)*$AD$119)+RIGHT(AE133,4)*P133,0),"vielleicht Günstiger","vielleicht Teurer")</f>
        <v>vielleicht Teurer</v>
      </c>
      <c r="AH133" s="388">
        <f t="shared" si="7"/>
        <v>0</v>
      </c>
      <c r="AI133" s="372">
        <f t="shared" si="17"/>
        <v>20</v>
      </c>
      <c r="AJ133" s="390" t="str">
        <f t="shared" si="8"/>
        <v>1600€ im Jahr</v>
      </c>
      <c r="AK133" s="372" t="s">
        <v>396</v>
      </c>
      <c r="AL133" s="391" t="str">
        <f>CONCATENATE(0," €|",200," €|",ROUND(I133/15,0),"€ ")</f>
        <v xml:space="preserve">0 €|200 €|2133€ </v>
      </c>
      <c r="AN133" s="392">
        <v>0.03</v>
      </c>
      <c r="AO133" s="369" t="s">
        <v>317</v>
      </c>
      <c r="AP133" s="405">
        <v>0.35</v>
      </c>
      <c r="AQ133" s="303" t="str">
        <f>CONCATENATE("(",$AQ$116*AN133*LEFT($AE133,5)," €| ",,$AQ$116*AP133*LEFT($AE133,5),") € || ",$AQ$117-($AQ$116*AN133*LEFT($AE133,5))," €/a | ",AF133," €/a")</f>
        <v>(402,6 €| 4697) € || 3197,4 €/a | 3728 €| 
Energiekosten &amp; CO² = 5625 € €/a</v>
      </c>
      <c r="AR133" s="395">
        <f t="shared" si="25"/>
        <v>23</v>
      </c>
      <c r="AS133" s="410"/>
      <c r="AT133" s="417" t="s">
        <v>399</v>
      </c>
      <c r="AU133" s="418">
        <v>50</v>
      </c>
      <c r="AV133" s="419"/>
    </row>
    <row r="134" spans="2:74" ht="92.7" customHeight="1">
      <c r="B134" s="414"/>
      <c r="C134" s="406"/>
      <c r="D134" s="366">
        <v>4.3</v>
      </c>
      <c r="E134" s="457" t="str">
        <f>CONCATENATE("Sole/Wasser-Wärmepumpe (Erd-WP; Geothermie, Erdwärmekollektor) inkl. Trinkwasserspeicher 300 Liter; Beispiel: Normaler Festgesteinsuntergrund und wassergesttigtes Sediment (λ &lt;1,5-3,0 W/(mK)) = ",BA115," W/m = Erwärmesondenlänge ",ROUND( AQ114/BA116,0),"m bei ",ROUND(AQ114,0),"kW Heizleistung; Abstandsregeln zu Sonden (ggf. 6 m auf dem Flurstück &amp; 10 m zur benachbarten Anlage) beachten! Bei Erdwärmekollektor sind ca.",ROUND(AQ114/BA116,0),"m² mit einer Kollektorrohrelänge von ca.", ROUND((AQ114/BA116)/BA114,0),"m in 20 cm unter der Frostgrenze (80-120cm) erforderlich. ",BT120, " (JAZ 4,0-5,0 | Arbeitsraum &amp; Logistik beachten)")</f>
        <v>Sole/Wasser-Wärmepumpe (Erd-WP; Geothermie, Erdwärmekollektor) inkl. Trinkwasserspeicher 300 Liter; Beispiel: Normaler Festgesteinsuntergrund und wassergesttigtes Sediment (λ &lt;1,5-3,0 W/(mK)) = 55 W/m = Erwärmesondenlänge 273m bei 15kW Heizleistung; Abstandsregeln zu Sonden (ggf. 6 m auf dem Flurstück &amp; 10 m zur benachbarten Anlage) beachten! Bei Erdwärmekollektor sind ca.273m² mit einer Kollektorrohrelänge von ca.909m in 20 cm unter der Frostgrenze (80-120cm) erforderlich. Eine Fachplanung ist erforderlich (JAZ 4,0-5,0 | Arbeitsraum &amp; Logistik beachten)</v>
      </c>
      <c r="F134" s="457"/>
      <c r="G134" s="368">
        <v>30000</v>
      </c>
      <c r="H134" s="369" t="s">
        <v>317</v>
      </c>
      <c r="I134" s="370">
        <v>60000</v>
      </c>
      <c r="J134" s="424" t="s">
        <v>400</v>
      </c>
      <c r="K134" s="416" t="str">
        <f t="shared" si="18"/>
        <v>20% | 
Invest
60000-12000= 
Rest 48000</v>
      </c>
      <c r="L134" s="416" t="str">
        <f t="shared" si="19"/>
        <v>45% | 
Invest
60000-27000= 
Rest 33000</v>
      </c>
      <c r="M134" s="416" t="str">
        <f t="shared" si="20"/>
        <v>45% | 
Invest
60000-27000= 
Rest 33000</v>
      </c>
      <c r="N134" s="3"/>
      <c r="O134" s="453">
        <v>5</v>
      </c>
      <c r="P134" s="373">
        <f>ROUND($AQ$116/O134,0)</f>
        <v>12200</v>
      </c>
      <c r="Q134" s="374" t="s">
        <v>393</v>
      </c>
      <c r="R134" s="375" t="str">
        <f t="shared" si="21"/>
        <v>560 Netzbezug
17 kg CO² m²</v>
      </c>
      <c r="S134" s="435">
        <v>4.3</v>
      </c>
      <c r="T134" s="446"/>
      <c r="U134" s="447"/>
      <c r="V134" s="454"/>
      <c r="W134" s="455" t="str">
        <f>CONCATENATE("483 ","g CO² pro kWh ",ROUND(((483.962541063458  /1000)*AQ116)/1000,3)," t CO²")</f>
        <v>483 g CO² pro kWh 29,522 t CO²</v>
      </c>
      <c r="X134" s="403" t="str">
        <f t="shared" si="22"/>
        <v>560 Netzbezug 6,832 t CO²;
0 Gebäude nah erzeugt</v>
      </c>
      <c r="Y134" s="403" t="str">
        <f t="shared" ref="Y134:Y137" si="26">CONCATENATE("401 Strom (Strommix Deutschland 2019) ",ROUND(((401/1000)*P134)/1000,3)," t CO²")</f>
        <v>401 Strom (Strommix Deutschland 2019) 4,892 t CO²</v>
      </c>
      <c r="Z134" s="379" t="str">
        <f t="shared" si="23"/>
        <v>366 Netzbezug 4,465 t CO²</v>
      </c>
      <c r="AA134" s="381" t="str">
        <f t="shared" si="24"/>
        <v>532 Netzbezug 6,49 t CO²</v>
      </c>
      <c r="AB134" s="382">
        <f t="shared" si="14"/>
        <v>8.2799999999999994</v>
      </c>
      <c r="AC134" s="372">
        <f>$AC$132</f>
        <v>560</v>
      </c>
      <c r="AD134" s="451" t="str">
        <f t="shared" si="4"/>
        <v xml:space="preserve">6,83 t | 1366 € </v>
      </c>
      <c r="AE134" s="409">
        <f t="shared" ref="AE134:AE142" si="27">$AE$132</f>
        <v>0.22</v>
      </c>
      <c r="AF134" s="386" t="str">
        <f t="shared" si="5"/>
        <v>2684 €| 
Energiekosten &amp; CO² = 4050 €</v>
      </c>
      <c r="AG134" s="387" t="str">
        <f>IF($AQ$117&gt;ROUND((((AC134*P134)/1000)*$AD$119)+RIGHT(AE134,4)*P134,0),"vielleicht Günstiger","vielleicht Teurer")</f>
        <v>vielleicht Teurer</v>
      </c>
      <c r="AH134" s="388">
        <f t="shared" si="7"/>
        <v>0</v>
      </c>
      <c r="AI134" s="372">
        <f t="shared" si="17"/>
        <v>20</v>
      </c>
      <c r="AJ134" s="390" t="str">
        <f t="shared" si="8"/>
        <v>3000€ im Jahr</v>
      </c>
      <c r="AK134" s="372" t="s">
        <v>396</v>
      </c>
      <c r="AL134" s="391" t="str">
        <f>CONCATENATE(0," €|",200," €|",ROUND(I134/15,0),"€ ")</f>
        <v xml:space="preserve">0 €|200 €|4000€ </v>
      </c>
      <c r="AN134" s="392">
        <v>0.03</v>
      </c>
      <c r="AO134" s="369" t="s">
        <v>317</v>
      </c>
      <c r="AP134" s="405">
        <v>0.35</v>
      </c>
      <c r="AQ134" s="303" t="str">
        <f>CONCATENATE("(",$AQ$116*AN134*LEFT($AE134,5)," €| ",,$AQ$116*AP134*LEFT($AE134,5),") € || ",$AQ$117-($AQ$116*AN134*LEFT($AE134,5))," €/a | ",AF134," €/a")</f>
        <v>(402,6 €| 4697) € || 3197,4 €/a | 2684 €| 
Energiekosten &amp; CO² = 4050 € €/a</v>
      </c>
      <c r="AR134" s="395">
        <f t="shared" si="25"/>
        <v>17</v>
      </c>
      <c r="AS134" s="410"/>
      <c r="AT134" s="417" t="s">
        <v>401</v>
      </c>
      <c r="AU134" s="418">
        <v>65</v>
      </c>
      <c r="AV134" s="419"/>
      <c r="BD134" s="316" t="s">
        <v>402</v>
      </c>
    </row>
    <row r="135" spans="2:74" ht="53.5" customHeight="1" thickBot="1">
      <c r="B135" s="414"/>
      <c r="C135" s="406"/>
      <c r="D135" s="366">
        <v>4.4000000000000004</v>
      </c>
      <c r="E135" s="367" t="str">
        <f>CONCATENATE("Wasser-Wasser Wärmepumpe (Wärmespeicher / EISspeicher)  inkl. Trinkwasser; Beispiel Eisspeicher: Arbeitsraum Min. 6 x 11; Auslegung des Speichers mit ",ROUND(((AQ114*24)/(24-BA113))+(0.3*AQ118),0),"kW bei ",AQ114," kW Heizlast, gewählt. ",BT120, " (JAZ 4,5-5,5)")</f>
        <v>Wasser-Wasser Wärmepumpe (Wärmespeicher / EISspeicher)  inkl. Trinkwasser; Beispiel Eisspeicher: Arbeitsraum Min. 6 x 11; Auslegung des Speichers mit 19kW bei 15 kW Heizlast, gewählt. Eine Fachplanung ist erforderlich (JAZ 4,5-5,5)</v>
      </c>
      <c r="F135" s="367"/>
      <c r="G135" s="368">
        <v>20000</v>
      </c>
      <c r="H135" s="369" t="s">
        <v>317</v>
      </c>
      <c r="I135" s="370">
        <v>40000</v>
      </c>
      <c r="J135" s="424" t="s">
        <v>403</v>
      </c>
      <c r="K135" s="416" t="str">
        <f t="shared" si="18"/>
        <v>20% | 
Invest
40000-8000= 
Rest 32000</v>
      </c>
      <c r="L135" s="416" t="str">
        <f t="shared" si="19"/>
        <v>45% | 
Invest
40000-18000= 
Rest 22000</v>
      </c>
      <c r="M135" s="416" t="str">
        <f t="shared" si="20"/>
        <v>45% | 
Invest
40000-18000= 
Rest 22000</v>
      </c>
      <c r="N135" s="3"/>
      <c r="O135" s="453">
        <v>4</v>
      </c>
      <c r="P135" s="373">
        <f>ROUND($AQ$116/O135,0)</f>
        <v>15250</v>
      </c>
      <c r="Q135" s="374" t="s">
        <v>393</v>
      </c>
      <c r="R135" s="375" t="str">
        <f t="shared" si="21"/>
        <v>560 Netzbezug
21 kg CO² m²</v>
      </c>
      <c r="S135" s="456">
        <v>4.4000000000000004</v>
      </c>
      <c r="T135" s="446"/>
      <c r="U135" s="447"/>
      <c r="V135" s="454"/>
      <c r="W135" s="455" t="str">
        <f>CONCATENATE("483","g CO² pro kWh ",ROUND(((483.962541063458  /1000)*AQ116)/1000,3)," t CO²")</f>
        <v>483g CO² pro kWh 29,522 t CO²</v>
      </c>
      <c r="X135" s="403" t="str">
        <f t="shared" si="22"/>
        <v>560 Netzbezug 8,54 t CO²;
0 Gebäude nah erzeugt</v>
      </c>
      <c r="Y135" s="403" t="str">
        <f t="shared" si="26"/>
        <v>401 Strom (Strommix Deutschland 2019) 6,115 t CO²</v>
      </c>
      <c r="Z135" s="379" t="str">
        <f t="shared" si="23"/>
        <v>366 Netzbezug 5,582 t CO²</v>
      </c>
      <c r="AA135" s="381" t="str">
        <f t="shared" si="24"/>
        <v>532 Netzbezug 8,113 t CO²</v>
      </c>
      <c r="AB135" s="382">
        <f t="shared" si="14"/>
        <v>8.2799999999999994</v>
      </c>
      <c r="AC135" s="372">
        <f t="shared" ref="AC135:AC142" si="28">$AC$132</f>
        <v>560</v>
      </c>
      <c r="AD135" s="451" t="str">
        <f t="shared" si="4"/>
        <v xml:space="preserve">8,54 t | 1708 € </v>
      </c>
      <c r="AE135" s="409">
        <f t="shared" si="27"/>
        <v>0.22</v>
      </c>
      <c r="AF135" s="386" t="str">
        <f t="shared" si="5"/>
        <v>3355 €| 
Energiekosten &amp; CO² = 5063 €</v>
      </c>
      <c r="AG135" s="387" t="str">
        <f>IF($AQ$117&gt;ROUND((((AC135*P135)/1000)*$AD$119)+RIGHT(AE135,4)*P135,0),"vielleicht Günstiger","vielleicht Teurer")</f>
        <v>vielleicht Teurer</v>
      </c>
      <c r="AH135" s="388">
        <f t="shared" si="7"/>
        <v>0</v>
      </c>
      <c r="AI135" s="372">
        <f t="shared" si="17"/>
        <v>20</v>
      </c>
      <c r="AJ135" s="390" t="str">
        <f t="shared" si="8"/>
        <v>2000€ im Jahr</v>
      </c>
      <c r="AK135" s="372" t="s">
        <v>396</v>
      </c>
      <c r="AL135" s="391" t="str">
        <f>CONCATENATE(0," €|",200," €|",ROUND(I135/15,0),"€ ")</f>
        <v xml:space="preserve">0 €|200 €|2667€ </v>
      </c>
      <c r="AN135" s="392">
        <v>0.03</v>
      </c>
      <c r="AO135" s="369" t="s">
        <v>317</v>
      </c>
      <c r="AP135" s="405">
        <v>0.35</v>
      </c>
      <c r="AQ135" s="303" t="str">
        <f>CONCATENATE("(",$AQ$116*AN135*LEFT($AE135,5)," €| ",,$AQ$116*AP135*LEFT($AE135,5),") € || ",$AQ$117-($AQ$116*AN135*LEFT($AE135,5))," €/a | ",AF135," €/a")</f>
        <v>(402,6 €| 4697) € || 3197,4 €/a | 3355 €| 
Energiekosten &amp; CO² = 5063 € €/a</v>
      </c>
      <c r="AR135" s="395">
        <f t="shared" si="25"/>
        <v>21</v>
      </c>
      <c r="AS135" s="410"/>
      <c r="AT135" s="458" t="s">
        <v>404</v>
      </c>
      <c r="AU135" s="459">
        <v>65</v>
      </c>
      <c r="AV135" s="460"/>
    </row>
    <row r="136" spans="2:74" ht="53.5" customHeight="1">
      <c r="B136" s="414"/>
      <c r="C136" s="406"/>
      <c r="D136" s="366">
        <v>4.5</v>
      </c>
      <c r="E136" s="367" t="s">
        <v>405</v>
      </c>
      <c r="F136" s="367"/>
      <c r="G136" s="368">
        <v>250</v>
      </c>
      <c r="H136" s="369" t="s">
        <v>406</v>
      </c>
      <c r="I136" s="370">
        <v>1000</v>
      </c>
      <c r="J136" s="424"/>
      <c r="K136" s="416"/>
      <c r="L136" s="416"/>
      <c r="M136" s="416"/>
      <c r="N136" s="3"/>
      <c r="O136" s="453" t="str">
        <f>CONCATENATE(AQ119," m² * 20kWh = ", AQ119 * 20, " kWh")</f>
        <v>414 m² * 20kWh = 8280 kWh</v>
      </c>
      <c r="P136" s="373">
        <f>AQ119 * 20</f>
        <v>8280</v>
      </c>
      <c r="Q136" s="374" t="s">
        <v>21</v>
      </c>
      <c r="R136" s="375" t="str">
        <f>CONCATENATE("560 Netzbezug
",ROUND((((560*P136)/1000)/$AQ$119),0)," kg CO² m²")</f>
        <v>560 Netzbezug
11 kg CO² m²</v>
      </c>
      <c r="S136" s="456"/>
      <c r="T136" s="446"/>
      <c r="U136" s="447"/>
      <c r="V136" s="454"/>
      <c r="W136" s="455" t="str">
        <f>CONCATENATE("483","g CO² pro kWh ",ROUND(((483.962541063458  /1000)*AQ117)/1000,3)," t CO²")</f>
        <v>483g CO² pro kWh 1,742 t CO²</v>
      </c>
      <c r="X136" s="403" t="str">
        <f t="shared" si="22"/>
        <v>560 Netzbezug 4,637 t CO²;
0 Gebäude nah erzeugt</v>
      </c>
      <c r="Y136" s="403" t="str">
        <f t="shared" si="26"/>
        <v>401 Strom (Strommix Deutschland 2019) 3,32 t CO²</v>
      </c>
      <c r="Z136" s="379" t="str">
        <f t="shared" si="23"/>
        <v>366 Netzbezug 3,03 t CO²</v>
      </c>
      <c r="AA136" s="381" t="str">
        <f t="shared" si="24"/>
        <v>532 Netzbezug 4,405 t CO²</v>
      </c>
      <c r="AB136" s="382">
        <f t="shared" si="14"/>
        <v>8.2799999999999994</v>
      </c>
      <c r="AC136" s="372">
        <f t="shared" si="28"/>
        <v>560</v>
      </c>
      <c r="AD136" s="451" t="str">
        <f t="shared" si="4"/>
        <v xml:space="preserve">4,64 t | 927 € </v>
      </c>
      <c r="AE136" s="409">
        <f t="shared" si="27"/>
        <v>0.22</v>
      </c>
      <c r="AF136" s="386" t="str">
        <f t="shared" si="5"/>
        <v>1822 €| 
Energiekosten &amp; CO² = 2749 €</v>
      </c>
      <c r="AG136" s="387"/>
      <c r="AH136" s="388"/>
      <c r="AI136" s="372"/>
      <c r="AJ136" s="390"/>
      <c r="AK136" s="372"/>
      <c r="AL136" s="391"/>
      <c r="AN136" s="392"/>
      <c r="AO136" s="369"/>
      <c r="AP136" s="405"/>
      <c r="AQ136" s="303"/>
      <c r="AR136" s="395"/>
      <c r="AS136" s="395"/>
      <c r="AT136" s="461"/>
      <c r="AU136" s="461"/>
      <c r="AV136" s="461"/>
    </row>
    <row r="137" spans="2:74" ht="53.5" customHeight="1">
      <c r="B137" s="414"/>
      <c r="C137" s="406"/>
      <c r="D137" s="366">
        <v>4.5999999999999996</v>
      </c>
      <c r="E137" s="367" t="s">
        <v>407</v>
      </c>
      <c r="F137" s="367"/>
      <c r="G137" s="368">
        <v>2000</v>
      </c>
      <c r="H137" s="369" t="s">
        <v>406</v>
      </c>
      <c r="I137" s="370">
        <v>5000</v>
      </c>
      <c r="J137" s="424"/>
      <c r="K137" s="416" t="str">
        <f t="shared" si="18"/>
        <v>20% | 
Invest
5000-1000= 
Rest 4000</v>
      </c>
      <c r="L137" s="416"/>
      <c r="M137" s="416"/>
      <c r="N137" s="3"/>
      <c r="O137" s="453" t="str">
        <f>CONCATENATE(AQ119," m² * 20kWh = ", AQ119 * 20, " kWh")</f>
        <v>414 m² * 20kWh = 8280 kWh</v>
      </c>
      <c r="P137" s="373">
        <f>(AQ119 * 20)/4</f>
        <v>2070</v>
      </c>
      <c r="Q137" s="374" t="s">
        <v>21</v>
      </c>
      <c r="R137" s="375" t="str">
        <f>CONCATENATE("560 Netzbezug
",ROUND((((560*P137)/1000)/$AQ$119),0)," kg CO² m²")</f>
        <v>560 Netzbezug
3 kg CO² m²</v>
      </c>
      <c r="S137" s="456"/>
      <c r="T137" s="446"/>
      <c r="U137" s="447"/>
      <c r="V137" s="454"/>
      <c r="W137" s="455" t="str">
        <f>CONCATENATE("483","g CO² pro kWh ",ROUND(((483.962541063458  /1000)*AQ118)/1000,3)," t CO²")</f>
        <v>483g CO² pro kWh 0,004 t CO²</v>
      </c>
      <c r="X137" s="403" t="str">
        <f t="shared" si="22"/>
        <v>560 Netzbezug 1,159 t CO²;
0 Gebäude nah erzeugt</v>
      </c>
      <c r="Y137" s="403" t="str">
        <f t="shared" si="26"/>
        <v>401 Strom (Strommix Deutschland 2019) 0,83 t CO²</v>
      </c>
      <c r="Z137" s="379" t="str">
        <f t="shared" si="23"/>
        <v>366 Netzbezug 0,758 t CO²</v>
      </c>
      <c r="AA137" s="381" t="str">
        <f t="shared" si="24"/>
        <v>532 Netzbezug 1,101 t CO²</v>
      </c>
      <c r="AB137" s="382">
        <f t="shared" si="14"/>
        <v>8.2799999999999994</v>
      </c>
      <c r="AC137" s="372">
        <f t="shared" si="28"/>
        <v>560</v>
      </c>
      <c r="AD137" s="451" t="str">
        <f t="shared" si="4"/>
        <v xml:space="preserve">1,16 t | 232 € </v>
      </c>
      <c r="AE137" s="409">
        <f t="shared" si="27"/>
        <v>0.22</v>
      </c>
      <c r="AF137" s="386" t="str">
        <f t="shared" si="5"/>
        <v>455 €| 
Energiekosten &amp; CO² = 687 €</v>
      </c>
      <c r="AG137" s="387"/>
      <c r="AH137" s="388"/>
      <c r="AI137" s="372"/>
      <c r="AJ137" s="390"/>
      <c r="AK137" s="372"/>
      <c r="AL137" s="391"/>
      <c r="AN137" s="392"/>
      <c r="AO137" s="369"/>
      <c r="AP137" s="405"/>
      <c r="AQ137" s="303"/>
      <c r="AR137" s="395"/>
      <c r="AS137" s="395"/>
      <c r="AT137" s="461"/>
      <c r="AU137" s="461"/>
      <c r="AV137" s="461"/>
    </row>
    <row r="138" spans="2:74" ht="50.7" customHeight="1">
      <c r="B138" s="414"/>
      <c r="C138" s="423"/>
      <c r="D138" s="366">
        <v>4.7</v>
      </c>
      <c r="E138" s="367" t="s">
        <v>408</v>
      </c>
      <c r="F138" s="367"/>
      <c r="G138" s="368">
        <v>1000</v>
      </c>
      <c r="H138" s="369" t="s">
        <v>406</v>
      </c>
      <c r="I138" s="370">
        <v>15000</v>
      </c>
      <c r="J138" s="371"/>
      <c r="K138" s="384"/>
      <c r="L138" s="372"/>
      <c r="M138" s="372"/>
      <c r="N138" s="3"/>
      <c r="O138" s="372">
        <v>1.2</v>
      </c>
      <c r="P138" s="373">
        <f>ROUND($AQ$116/O138,0)</f>
        <v>50833</v>
      </c>
      <c r="Q138" s="374" t="s">
        <v>21</v>
      </c>
      <c r="R138" s="375" t="str">
        <f t="shared" si="21"/>
        <v>560 Netzbezug
69 kg CO² m²</v>
      </c>
      <c r="S138" s="435">
        <v>4.5</v>
      </c>
      <c r="T138" s="452"/>
      <c r="U138" s="447"/>
      <c r="V138" s="462" t="s">
        <v>409</v>
      </c>
      <c r="W138" s="455" t="str">
        <f>CONCATENATE("483","g CO² pro kWh ",ROUND(((483.962541063458  /1000)*AQ116)/1000,3)," t CO²")</f>
        <v>483g CO² pro kWh 29,522 t CO²</v>
      </c>
      <c r="X138" s="403" t="str">
        <f>CONCATENATE("560 Netzbezug ", ROUND(((560/1000)*P138)/1000,3)," t CO²;
0 Gebäude nah erzeugt")</f>
        <v>560 Netzbezug 28,466 t CO²;
0 Gebäude nah erzeugt</v>
      </c>
      <c r="Y138" s="403" t="str">
        <f>CONCATENATE("401 Strom (Strommix Deutschland 2019) ",ROUND(((401/1000)*P138)/1000,3)," t CO²")</f>
        <v>401 Strom (Strommix Deutschland 2019) 20,384 t CO²</v>
      </c>
      <c r="Z138" s="379" t="str">
        <f t="shared" si="23"/>
        <v>366 Netzbezug 18,605 t CO²</v>
      </c>
      <c r="AA138" s="381" t="str">
        <f t="shared" si="24"/>
        <v>532 Netzbezug 27,043 t CO²</v>
      </c>
      <c r="AB138" s="382">
        <f t="shared" si="14"/>
        <v>8.2799999999999994</v>
      </c>
      <c r="AC138" s="372">
        <f t="shared" si="28"/>
        <v>560</v>
      </c>
      <c r="AD138" s="451" t="str">
        <f t="shared" si="4"/>
        <v xml:space="preserve">28,47 t | 5693 € </v>
      </c>
      <c r="AE138" s="409">
        <f t="shared" si="27"/>
        <v>0.22</v>
      </c>
      <c r="AF138" s="386" t="str">
        <f t="shared" si="5"/>
        <v>11183 €| 
Energiekosten &amp; CO² = 16877 €</v>
      </c>
      <c r="AG138" s="387" t="str">
        <f>IF($AQ$117&gt;ROUND((((AC138*P138)/1000)*$AD$119)+RIGHT(AE138,4)*P138,0),"vielleicht Günstiger","vielleicht Teurer")</f>
        <v>vielleicht Teurer</v>
      </c>
      <c r="AH138" s="388">
        <f t="shared" si="7"/>
        <v>0</v>
      </c>
      <c r="AI138" s="372">
        <f t="shared" si="17"/>
        <v>20</v>
      </c>
      <c r="AJ138" s="390" t="str">
        <f t="shared" si="8"/>
        <v>750€ im Jahr</v>
      </c>
      <c r="AK138" s="372" t="s">
        <v>396</v>
      </c>
      <c r="AL138" s="391" t="str">
        <f>CONCATENATE(0," €|",0," €|",ROUND(I138/15,0),"€ ")</f>
        <v xml:space="preserve">0 €|0 €|1000€ </v>
      </c>
      <c r="AN138" s="392">
        <v>0</v>
      </c>
      <c r="AO138" s="369"/>
      <c r="AP138" s="405">
        <v>0.5</v>
      </c>
      <c r="AQ138" s="303" t="str">
        <f>CONCATENATE("(",$AQ$116*AN138*LEFT($AE138,5)," €| ",,$AQ$116*AP138*LEFT($AE138,5),") € || ",$AQ$117-($AQ$116*AN138*LEFT($AE138,5))," €/a | ",AF138," €/a")</f>
        <v>(0 €| 6710) € || 3600 €/a | 11183 €| 
Energiekosten &amp; CO² = 16877 € €/a</v>
      </c>
      <c r="AR138" s="395">
        <f t="shared" si="25"/>
        <v>69</v>
      </c>
      <c r="AS138" s="395"/>
    </row>
    <row r="139" spans="2:74" ht="50.4" customHeight="1">
      <c r="B139" s="414"/>
      <c r="C139" s="399" t="s">
        <v>410</v>
      </c>
      <c r="D139" s="366">
        <v>5.0999999999999996</v>
      </c>
      <c r="E139" s="367" t="s">
        <v>411</v>
      </c>
      <c r="F139" s="367"/>
      <c r="G139" s="368">
        <v>300</v>
      </c>
      <c r="H139" s="369" t="s">
        <v>317</v>
      </c>
      <c r="I139" s="370">
        <v>1000</v>
      </c>
      <c r="J139" s="371"/>
      <c r="K139" s="384"/>
      <c r="L139" s="372"/>
      <c r="M139" s="372"/>
      <c r="N139" s="3"/>
      <c r="O139" s="372"/>
      <c r="P139" s="373">
        <f>(0.6* 900)</f>
        <v>540</v>
      </c>
      <c r="Q139" s="374" t="s">
        <v>21</v>
      </c>
      <c r="R139" s="375" t="str">
        <f t="shared" si="21"/>
        <v>560 Netzbezug
1 kg CO² m²</v>
      </c>
      <c r="S139" s="463">
        <v>5.0999999999999996</v>
      </c>
      <c r="T139" s="464"/>
      <c r="U139" s="447"/>
      <c r="V139" s="454" t="s">
        <v>395</v>
      </c>
      <c r="W139" s="455" t="str">
        <f>CONCATENATE("60","g CO² pro kWh ",ROUND(((60.8098095664209  /1000)*AQ116)/1000,3)," t CO²")</f>
        <v>60g CO² pro kWh 3,709 t CO²</v>
      </c>
      <c r="X139" s="403" t="str">
        <f>CONCATENATE("560 Netzbezug ", ROUND(((560/1000)*AQ116)/1000,3)," t CO²;
0 Gebäude nah erzeugt")</f>
        <v>560 Netzbezug 34,16 t CO²;
0 Gebäude nah erzeugt</v>
      </c>
      <c r="Y139" s="403" t="e">
        <f t="shared" ref="Y139:Y142" si="29">CONCATENATE("401 Strom (Strommix Deutschland 2019) ",ROUND(((401/1000)*AQ123)/1000,3)," t CO²")</f>
        <v>#VALUE!</v>
      </c>
      <c r="Z139" s="455"/>
      <c r="AA139" s="465"/>
      <c r="AB139" s="382">
        <f t="shared" si="14"/>
        <v>8.2799999999999994</v>
      </c>
      <c r="AC139" s="372">
        <f t="shared" si="28"/>
        <v>560</v>
      </c>
      <c r="AD139" s="466" t="str">
        <f>CONCATENATE("(0,6kW x 900kWh/kWp)x ", AE139,"€je kWh =",ROUND(0.6*900*AE139,0)," € im Jahr| ",ROUND(0.6*900*(AC139/1000)/1000,3)," t im Jahr")</f>
        <v>(0,6kW x 900kWh/kWp)x 0,22€je kWh =119 € im Jahr| 0,302 t im Jahr</v>
      </c>
      <c r="AE139" s="409">
        <f t="shared" si="27"/>
        <v>0.22</v>
      </c>
      <c r="AF139" s="386" t="str">
        <f>CONCATENATE(ROUND(RIGHT(AE139,4)*P139,0)," €")</f>
        <v>119 €</v>
      </c>
      <c r="AG139" s="387"/>
      <c r="AH139" s="321"/>
      <c r="AI139" s="372">
        <f t="shared" si="17"/>
        <v>20</v>
      </c>
      <c r="AJ139" s="390" t="str">
        <f t="shared" si="8"/>
        <v>50€ im Jahr</v>
      </c>
      <c r="AK139" s="372" t="s">
        <v>396</v>
      </c>
      <c r="AL139" s="391" t="str">
        <f>CONCATENATE(0," €|",200," €|",ROUND(I139/15,0),"€ ")</f>
        <v xml:space="preserve">0 €|200 €|67€ </v>
      </c>
      <c r="AN139" s="392"/>
      <c r="AO139" s="369"/>
      <c r="AP139" s="405"/>
      <c r="AQ139" s="303"/>
      <c r="AR139" s="395">
        <f t="shared" si="25"/>
        <v>1</v>
      </c>
      <c r="AS139" s="395"/>
    </row>
    <row r="140" spans="2:74" ht="45" customHeight="1">
      <c r="B140" s="414"/>
      <c r="C140" s="406"/>
      <c r="D140" s="366">
        <v>5.2</v>
      </c>
      <c r="E140" s="467" t="s">
        <v>412</v>
      </c>
      <c r="F140" s="467"/>
      <c r="G140" s="368">
        <v>9000</v>
      </c>
      <c r="H140" s="369" t="s">
        <v>406</v>
      </c>
      <c r="I140" s="370">
        <v>10000</v>
      </c>
      <c r="J140" s="371"/>
      <c r="K140" s="384"/>
      <c r="L140" s="372"/>
      <c r="M140" s="372"/>
      <c r="N140" s="3"/>
      <c r="O140" s="372"/>
      <c r="P140" s="373">
        <f>(9.66* 900)</f>
        <v>8694</v>
      </c>
      <c r="Q140" s="374" t="s">
        <v>21</v>
      </c>
      <c r="R140" s="375" t="str">
        <f t="shared" si="21"/>
        <v>560 Netzbezug
12 kg CO² m²</v>
      </c>
      <c r="S140" s="468">
        <v>5.2</v>
      </c>
      <c r="T140" s="464"/>
      <c r="U140" s="447"/>
      <c r="V140" s="454"/>
      <c r="W140" s="455" t="str">
        <f>CONCATENATE("60","g CO² pro kWh ",ROUND(((60.8098095664209  /1000)*AQ116)/1000,3)," t CO²")</f>
        <v>60g CO² pro kWh 3,709 t CO²</v>
      </c>
      <c r="X140" s="403" t="str">
        <f>CONCATENATE("560 Netzbezug ", ROUND(((560/1000)*AQ116)/1000,3)," t CO²;
0 Gebäude nah erzeugt")</f>
        <v>560 Netzbezug 34,16 t CO²;
0 Gebäude nah erzeugt</v>
      </c>
      <c r="Y140" s="403" t="e">
        <f t="shared" si="29"/>
        <v>#VALUE!</v>
      </c>
      <c r="Z140" s="455"/>
      <c r="AA140" s="465"/>
      <c r="AB140" s="382">
        <f t="shared" si="14"/>
        <v>8.2799999999999994</v>
      </c>
      <c r="AC140" s="372">
        <f t="shared" si="28"/>
        <v>560</v>
      </c>
      <c r="AD140" s="469" t="str">
        <f>CONCATENATE("(9,66kW x 900kWh/kWp) 0,3€ je kWh =",9.66*900*0.3," €| ",ROUND(9.66*900*(AC140/1000)/1000,2)," t")</f>
        <v>(9,66kW x 900kWh/kWp) 0,3€ je kWh =2608,2 €| 4,87 t</v>
      </c>
      <c r="AE140" s="409">
        <f t="shared" si="27"/>
        <v>0.22</v>
      </c>
      <c r="AF140" s="386" t="str">
        <f>CONCATENATE(ROUND(RIGHT(AE140,4)*P140,0)," € 
Abhängig vom Eigenverbrauch!!!")</f>
        <v>1913 € 
Abhängig vom Eigenverbrauch!!!</v>
      </c>
      <c r="AG140" s="387"/>
      <c r="AH140" s="321"/>
      <c r="AI140" s="372">
        <f t="shared" si="17"/>
        <v>20</v>
      </c>
      <c r="AJ140" s="390" t="str">
        <f t="shared" si="8"/>
        <v>500€ im Jahr</v>
      </c>
      <c r="AK140" s="372" t="s">
        <v>396</v>
      </c>
      <c r="AL140" s="391" t="str">
        <f>CONCATENATE(0," €|",200," €|",ROUND(I140/15,0),"€ ")</f>
        <v xml:space="preserve">0 €|200 €|667€ </v>
      </c>
      <c r="AN140" s="392"/>
      <c r="AO140" s="369"/>
      <c r="AP140" s="405"/>
      <c r="AQ140" s="303"/>
      <c r="AR140" s="395">
        <f t="shared" si="25"/>
        <v>12</v>
      </c>
      <c r="AS140" s="395"/>
    </row>
    <row r="141" spans="2:74" ht="57" customHeight="1">
      <c r="B141" s="414"/>
      <c r="C141" s="406"/>
      <c r="D141" s="366">
        <v>5.3</v>
      </c>
      <c r="E141" s="367" t="s">
        <v>413</v>
      </c>
      <c r="F141" s="367"/>
      <c r="G141" s="368">
        <v>9000</v>
      </c>
      <c r="H141" s="369" t="s">
        <v>406</v>
      </c>
      <c r="I141" s="370">
        <v>17000</v>
      </c>
      <c r="J141" s="371"/>
      <c r="K141" s="384"/>
      <c r="L141" s="372"/>
      <c r="M141" s="372"/>
      <c r="N141" s="3"/>
      <c r="O141" s="372"/>
      <c r="P141" s="373"/>
      <c r="Q141" s="374"/>
      <c r="R141" s="375"/>
      <c r="S141" s="463">
        <v>5.3</v>
      </c>
      <c r="T141" s="464"/>
      <c r="U141" s="447"/>
      <c r="V141" s="454"/>
      <c r="W141" s="455" t="str">
        <f>CONCATENATE("60","g CO² pro kWh ",ROUND(((60.8098095664209  /1000)*AQ116)/1000,3)," t CO²")</f>
        <v>60g CO² pro kWh 3,709 t CO²</v>
      </c>
      <c r="X141" s="403" t="str">
        <f>CONCATENATE("560 Netzbezug ", ROUND(((560/1000)*AQ116)/1000,3)," t CO²;
0 Gebäude nah erzeugt")</f>
        <v>560 Netzbezug 34,16 t CO²;
0 Gebäude nah erzeugt</v>
      </c>
      <c r="Y141" s="403" t="e">
        <f t="shared" si="29"/>
        <v>#VALUE!</v>
      </c>
      <c r="Z141" s="455"/>
      <c r="AA141" s="465"/>
      <c r="AB141" s="382">
        <f t="shared" si="14"/>
        <v>8.2799999999999994</v>
      </c>
      <c r="AC141" s="372">
        <f t="shared" si="28"/>
        <v>560</v>
      </c>
      <c r="AD141" s="469" t="str">
        <f>CONCATENATE("(10kW x 900kWh/kWp) x", AE141,"€je kWh x 40%Speicher= ",ROUND(10*900*AE141,0),"€| ",ROUND(10*900*(AC141/1000)/1000,2)*0.4," t")</f>
        <v>(10kW x 900kWh/kWp) x0,22€je kWh x 40%Speicher= 1980€| 2,016 t</v>
      </c>
      <c r="AE141" s="409">
        <f t="shared" si="27"/>
        <v>0.22</v>
      </c>
      <c r="AF141" s="386" t="s">
        <v>414</v>
      </c>
      <c r="AG141" s="387"/>
      <c r="AH141" s="321"/>
      <c r="AI141" s="372">
        <f t="shared" si="17"/>
        <v>20</v>
      </c>
      <c r="AJ141" s="390" t="str">
        <f t="shared" si="8"/>
        <v>850€ im Jahr</v>
      </c>
      <c r="AK141" s="372"/>
      <c r="AL141" s="391"/>
      <c r="AN141" s="392"/>
      <c r="AO141" s="369"/>
      <c r="AP141" s="405"/>
      <c r="AQ141" s="303"/>
      <c r="AR141" s="395"/>
      <c r="AS141" s="395"/>
    </row>
    <row r="142" spans="2:74" ht="50.25" customHeight="1" thickBot="1">
      <c r="B142" s="414"/>
      <c r="C142" s="423"/>
      <c r="D142" s="366">
        <v>5.4</v>
      </c>
      <c r="E142" s="367" t="s">
        <v>415</v>
      </c>
      <c r="F142" s="367"/>
      <c r="G142" s="368">
        <v>28000</v>
      </c>
      <c r="H142" s="369" t="s">
        <v>317</v>
      </c>
      <c r="I142" s="370">
        <v>45000</v>
      </c>
      <c r="J142" s="424" t="s">
        <v>372</v>
      </c>
      <c r="K142" s="470" t="str">
        <f>CONCATENATE("20% |",I132*0.8," Förderung nur auf WP!")</f>
        <v>20% |20000 Förderung nur auf WP!</v>
      </c>
      <c r="L142" s="390" t="str">
        <f>CONCATENATE("45% |",I132*0.55,"€ Förderung nur auf WP!")</f>
        <v>45% |13750€ Förderung nur auf WP!</v>
      </c>
      <c r="M142" s="372"/>
      <c r="N142" s="3"/>
      <c r="O142" s="420">
        <v>5</v>
      </c>
      <c r="P142" s="373">
        <f>ROUND($AQ$116/O142,0)</f>
        <v>12200</v>
      </c>
      <c r="Q142" s="374" t="s">
        <v>354</v>
      </c>
      <c r="R142" s="375" t="str">
        <f>CONCATENATE("560 Netzbezug
",ROUND((((560*P142)/1000)/$AQ$119),0)," kg CO² m²")</f>
        <v>560 Netzbezug
17 kg CO² m²</v>
      </c>
      <c r="S142" s="468">
        <v>5.4</v>
      </c>
      <c r="T142" s="464"/>
      <c r="U142" s="471"/>
      <c r="V142" s="472" t="s">
        <v>395</v>
      </c>
      <c r="W142" s="473" t="str">
        <f>CONCATENATE("60","g CO² pro kWh ",ROUND(((60.8098095664209  /1000)*AQ116)/1000,3)," t CO²")</f>
        <v>60g CO² pro kWh 3,709 t CO²</v>
      </c>
      <c r="X142" s="474" t="str">
        <f>CONCATENATE("560 Netzbezug ", ROUND(((560/1000)*P142)/1000,3)," t CO²;
0 Gebäude nah erzeugt")</f>
        <v>560 Netzbezug 6,832 t CO²;
0 Gebäude nah erzeugt</v>
      </c>
      <c r="Y142" s="403" t="e">
        <f t="shared" si="29"/>
        <v>#VALUE!</v>
      </c>
      <c r="Z142" s="473" t="str">
        <f>CONCATENATE("537 Strom Inland ",ROUND(((537/1000)*P142)/1000,3)," t CO²")</f>
        <v>537 Strom Inland 6,551 t CO²</v>
      </c>
      <c r="AA142" s="475"/>
      <c r="AB142" s="476">
        <f t="shared" si="14"/>
        <v>8.2799999999999994</v>
      </c>
      <c r="AC142" s="372">
        <f t="shared" si="28"/>
        <v>560</v>
      </c>
      <c r="AD142" s="477" t="str">
        <f>CONCATENATE(ROUND((AC142/1000*P142)/1000,2)," t | ",ROUND((((AC142/10000*P142)/100)*$AD$119),0)," € ")</f>
        <v xml:space="preserve">6,83 t | 1366 € </v>
      </c>
      <c r="AE142" s="409">
        <f t="shared" si="27"/>
        <v>0.22</v>
      </c>
      <c r="AF142" s="386" t="str">
        <f>CONCATENATE(ROUND(RIGHT(AE142,4)*P142,0)," € 
Abhängig vom Eigenverbrauch!!!")</f>
        <v>2684 € 
Abhängig vom Eigenverbrauch!!!</v>
      </c>
      <c r="AG142" s="387" t="str">
        <f>IF($AQ$117&gt;ROUND((((AC142*P142)/1000)*$AD$119)+RIGHT(AE142,4)*P142,0),"vielleicht Günstiger","vielleicht Teurer")</f>
        <v>vielleicht Teurer</v>
      </c>
      <c r="AH142" s="388">
        <f t="shared" ref="AH142:AH147" si="30">IF(AG142=$AG$116,1,0)</f>
        <v>0</v>
      </c>
      <c r="AI142" s="372">
        <f t="shared" si="17"/>
        <v>20</v>
      </c>
      <c r="AJ142" s="390" t="str">
        <f t="shared" si="8"/>
        <v>2250€ im Jahr</v>
      </c>
      <c r="AK142" s="372" t="s">
        <v>396</v>
      </c>
      <c r="AL142" s="391" t="str">
        <f>CONCATENATE(0," €|",200," €|",ROUND(I142/15,0),"€ ")</f>
        <v xml:space="preserve">0 €|200 €|3000€ </v>
      </c>
      <c r="AN142" s="392">
        <v>0.05</v>
      </c>
      <c r="AO142" s="369" t="s">
        <v>317</v>
      </c>
      <c r="AP142" s="405">
        <v>0.1</v>
      </c>
      <c r="AQ142" s="303" t="str">
        <f>CONCATENATE(,$AQ$116*AN142*LEFT($AE142,5)," €| ",,$AQ$116*AP142*LEFT($AE142,5)," € || ",$AQ$117-($AQ$116*AN142*LEFT($AE142,5))," €/a | ",$AQ$117-($AQ$116*AP142*LEFT($AE142,5))," €/a")</f>
        <v>671 €| 1342 € || 2929 €/a | 2258 €/a</v>
      </c>
      <c r="AR142" s="395">
        <f>ROUND(((560*P142)/1000)/$AQ$119,0)</f>
        <v>17</v>
      </c>
      <c r="AS142" s="395"/>
    </row>
    <row r="143" spans="2:74" ht="83.7" customHeight="1" thickTop="1">
      <c r="B143" s="414"/>
      <c r="C143" s="365" t="s">
        <v>416</v>
      </c>
      <c r="D143" s="366">
        <v>6</v>
      </c>
      <c r="E143" s="367" t="s">
        <v>417</v>
      </c>
      <c r="F143" s="367"/>
      <c r="G143" s="368">
        <v>12000</v>
      </c>
      <c r="H143" s="369" t="s">
        <v>317</v>
      </c>
      <c r="I143" s="370">
        <v>14000</v>
      </c>
      <c r="J143" s="416" t="s">
        <v>418</v>
      </c>
      <c r="K143" s="416" t="str">
        <f>CONCATENATE("20% | 
Invest
",I143,"-",I143*0.2,"= 
Rest ",I143*0.8)</f>
        <v>20% | 
Invest
14000-2800= 
Rest 11200</v>
      </c>
      <c r="L143" s="416" t="str">
        <f>CONCATENATE("20% | 
Invest
",I143,"-",I143*0.2,"= 
Rest ",I143*0.8)</f>
        <v>20% | 
Invest
14000-2800= 
Rest 11200</v>
      </c>
      <c r="M143" s="416" t="str">
        <f>CONCATENATE("20% | 
Invest
",I143,"-",I143*0.2,"= 
Rest ",I143*0.8)</f>
        <v>20% | 
Invest
14000-2800= 
Rest 11200</v>
      </c>
      <c r="N143" s="3"/>
      <c r="O143" s="372">
        <v>1.25</v>
      </c>
      <c r="P143" s="373">
        <f>ROUND($AQ$116/O143,0)</f>
        <v>48800</v>
      </c>
      <c r="Q143" s="374" t="s">
        <v>21</v>
      </c>
      <c r="R143" s="374"/>
      <c r="S143" s="366">
        <v>6</v>
      </c>
      <c r="T143" s="478"/>
      <c r="U143" s="479"/>
      <c r="V143" s="480">
        <v>0</v>
      </c>
      <c r="W143" s="481" t="str">
        <f>CONCATENATE("35","g CO² pro kWh ",ROUND(((35.8197029641015  /1000)*AQ116)/1000,3)," t CO²")</f>
        <v>35g CO² pro kWh 2,185 t CO²</v>
      </c>
      <c r="X143" s="482">
        <v>0</v>
      </c>
      <c r="Y143" s="427" t="str">
        <f>CONCATENATE("401 Strom (Strommix Deutschland 2019) ",ROUND(((401/1000)*AQ117)/1000,3)," t CO²")</f>
        <v>401 Strom (Strommix Deutschland 2019) 1,444 t CO²</v>
      </c>
      <c r="Z143" s="483">
        <v>0</v>
      </c>
      <c r="AA143" s="484"/>
      <c r="AB143" s="382">
        <f t="shared" si="14"/>
        <v>8.2799999999999994</v>
      </c>
      <c r="AC143" s="404">
        <v>10</v>
      </c>
      <c r="AD143" s="485" t="str">
        <f>CONCATENATE(ROUND((AC143/1000*P143)/1000,2)," t | ",ROUND((((AC143/10000*P143)/100)*$AD$119),0)," € ")</f>
        <v xml:space="preserve">0,49 t | 98 € </v>
      </c>
      <c r="AE143" s="385" t="str">
        <f>LEFT($AR$117,4)</f>
        <v>0,05</v>
      </c>
      <c r="AF143" s="486" t="str">
        <f>CONCATENATE(ROUND(RIGHT(AE143,4)*P143,0)," € ")</f>
        <v xml:space="preserve">2440 € </v>
      </c>
      <c r="AG143" s="387" t="str">
        <f>IF($AQ$117&gt;ROUND((((AC143*P143)/1000)*$AD$119)+RIGHT(AE143,4)*P143,0),"vielleicht Günstiger","vielleicht Teurer")</f>
        <v>vielleicht Teurer</v>
      </c>
      <c r="AH143" s="388">
        <f t="shared" si="30"/>
        <v>0</v>
      </c>
      <c r="AI143" s="372">
        <f t="shared" si="17"/>
        <v>20</v>
      </c>
      <c r="AJ143" s="390" t="str">
        <f t="shared" si="8"/>
        <v>700€ im Jahr</v>
      </c>
      <c r="AK143" s="372" t="s">
        <v>419</v>
      </c>
      <c r="AL143" s="391" t="str">
        <f>CONCATENATE(0," €|",200," €|",ROUND(I143/15,0),"€ ")</f>
        <v xml:space="preserve">0 €|200 €|933€ </v>
      </c>
      <c r="AN143" s="392">
        <v>0.03</v>
      </c>
      <c r="AO143" s="369" t="s">
        <v>317</v>
      </c>
      <c r="AP143" s="405">
        <v>0.1</v>
      </c>
      <c r="AQ143" s="303" t="str">
        <f>CONCATENATE(,$AQ$116*AN143*LEFT($AE143,5)," €| ",,$AQ$116*AP143*LEFT($AE143,5)," € || ",$AQ$117-($AQ$116*AN143*LEFT($AE143,5))," €/a | ",$AQ$117-($AQ$116*AP143*LEFT($AE143,5))," €/a")</f>
        <v>91,5 €| 305 € || 3508,5 €/a | 3295 €/a</v>
      </c>
      <c r="AR143" s="395"/>
      <c r="AS143" s="395"/>
    </row>
    <row r="144" spans="2:74" ht="61.2" customHeight="1">
      <c r="C144" s="365" t="s">
        <v>82</v>
      </c>
      <c r="D144" s="366">
        <v>7</v>
      </c>
      <c r="E144" s="367" t="s">
        <v>420</v>
      </c>
      <c r="F144" s="367"/>
      <c r="G144" s="368">
        <v>3000</v>
      </c>
      <c r="H144" s="369" t="s">
        <v>317</v>
      </c>
      <c r="I144" s="370">
        <v>4000</v>
      </c>
      <c r="J144" s="371"/>
      <c r="K144" s="384"/>
      <c r="L144" s="421"/>
      <c r="M144" s="422" t="str">
        <f>CONCATENATE("20% | 
Invest
",I144,"-",I144*0.2,"= 
Rest ",I144*0.8)</f>
        <v>20% | 
Invest
4000-800= 
Rest 3200</v>
      </c>
      <c r="N144" s="3"/>
      <c r="O144" s="372">
        <v>1.1000000000000001</v>
      </c>
      <c r="P144" s="373">
        <f>ROUND($AQ$116/O144,0)</f>
        <v>55455</v>
      </c>
      <c r="Q144" s="374" t="s">
        <v>21</v>
      </c>
      <c r="R144" s="374"/>
      <c r="S144" s="366">
        <v>7</v>
      </c>
      <c r="T144" s="478"/>
      <c r="U144" s="487"/>
      <c r="V144" s="488">
        <v>0.3</v>
      </c>
      <c r="W144" s="489" t="str">
        <f>CONCATENATE("260 ","g CO² pro kWh ",ROUND(((260.678431107189   /1000)*AQ116)/1000,3)," t CO²")</f>
        <v>260 g CO² pro kWh 15,901 t CO²</v>
      </c>
      <c r="X144" s="490" t="str">
        <f>CONCATENATE("400 FW aus Stein/ Braunkohle ", ROUND(((400/1000)*P144)/1000,2)," t CO²;
300 FW aus Gas/ flüssige Brennstoffe ", ROUND(((300/1000)*P144)/1000,3)," t CO²;
0 FW aus Erneuerbare Brennstoffe?")</f>
        <v>400 FW aus Stein/ Braunkohle 22,18 t CO²;
300 FW aus Gas/ flüssige Brennstoffe 16,637 t CO²;
0 FW aus Erneuerbare Brennstoffe?</v>
      </c>
      <c r="Y144" s="491">
        <v>0</v>
      </c>
      <c r="Z144" s="448" t="str">
        <f>CONCATENATE("266 Nah-/Fernwärme ",ROUND(((266/1000)*P144)/1000,3)," t CO²")</f>
        <v>266 Nah-/Fernwärme 14,751 t CO²</v>
      </c>
      <c r="AA144" s="379"/>
      <c r="AB144" s="382">
        <f t="shared" si="14"/>
        <v>8.2799999999999994</v>
      </c>
      <c r="AC144" s="383">
        <v>62</v>
      </c>
      <c r="AD144" s="384" t="str">
        <f>CONCATENATE(ROUND((AC144/1000*P144)/1000,2)," t | ",ROUND((((AC144/10000*P144)/100)*$AD$119),0)," € ")</f>
        <v xml:space="preserve">3,44 t | 688 € </v>
      </c>
      <c r="AE144" s="492">
        <v>0.12</v>
      </c>
      <c r="AF144" s="486" t="str">
        <f>CONCATENATE(ROUND(RIGHT(AE144,5)*P144,0)," € | ",ROUND(((((AC144/1000)*P144)/1000)*$AD$119)+RIGHT(AE144,4)*P144,0)," €")</f>
        <v>6655 € | 7342 €</v>
      </c>
      <c r="AG144" s="387" t="str">
        <f>IF($AQ$117&gt;ROUND((((AC144*P144)/1000)*$AD$119)+RIGHT(AE144,4)*P144,0),"vielleicht Günstiger","vielleicht Teurer")</f>
        <v>vielleicht Teurer</v>
      </c>
      <c r="AH144" s="388">
        <f t="shared" si="30"/>
        <v>0</v>
      </c>
      <c r="AI144" s="372">
        <f t="shared" si="17"/>
        <v>20</v>
      </c>
      <c r="AJ144" s="390" t="str">
        <f t="shared" si="8"/>
        <v>200€ im Jahr</v>
      </c>
      <c r="AK144" s="372" t="s">
        <v>421</v>
      </c>
      <c r="AL144" s="372"/>
      <c r="AN144" s="392">
        <v>0.03</v>
      </c>
      <c r="AO144" s="369" t="s">
        <v>317</v>
      </c>
      <c r="AP144" s="405">
        <v>0.1</v>
      </c>
      <c r="AQ144" s="303" t="str">
        <f>CONCATENATE(,$AQ$116*AN144*LEFT($AE144,5)," €| ",,$AQ$116*AP144*LEFT($AE144,5)," € || ",$AQ$117-($AQ$116*AN144*LEFT($AE144,5))," €/a | ",$AQ$117-($AQ$116*AP144*LEFT($AE144,5))," €/a")</f>
        <v>219,6 €| 732 € || 3380,4 €/a | 2868 €/a</v>
      </c>
      <c r="AR144" s="395"/>
      <c r="AS144" s="395"/>
      <c r="AZ144" s="493" t="s">
        <v>422</v>
      </c>
    </row>
    <row r="145" spans="1:45" ht="48.75" customHeight="1">
      <c r="C145" s="365"/>
      <c r="D145" s="366">
        <v>8</v>
      </c>
      <c r="E145" s="367" t="s">
        <v>423</v>
      </c>
      <c r="F145" s="367"/>
      <c r="G145" s="368">
        <v>1000</v>
      </c>
      <c r="H145" s="369" t="s">
        <v>317</v>
      </c>
      <c r="I145" s="370">
        <v>2000</v>
      </c>
      <c r="J145" s="371"/>
      <c r="K145" s="384"/>
      <c r="L145" s="416" t="str">
        <f>CONCATENATE("20% | 
Invest
",I145,"-",I145*0.2,"= 
Rest ",I145*0.8)</f>
        <v>20% | 
Invest
2000-400= 
Rest 1600</v>
      </c>
      <c r="M145" s="416" t="str">
        <f>CONCATENATE("20% | 
Invest
",I145,"-",I145*0.2,"= 
Rest ",I145*0.8)</f>
        <v>20% | 
Invest
2000-400= 
Rest 1600</v>
      </c>
      <c r="N145" s="3"/>
      <c r="O145" s="372">
        <v>1.1000000000000001</v>
      </c>
      <c r="P145" s="373">
        <f>ROUND($AQ$116/O145,0)</f>
        <v>55455</v>
      </c>
      <c r="Q145" s="374" t="s">
        <v>21</v>
      </c>
      <c r="R145" s="374"/>
      <c r="S145" s="366">
        <v>8</v>
      </c>
      <c r="T145" s="478"/>
      <c r="U145" s="487"/>
      <c r="V145" s="488"/>
      <c r="W145" s="494"/>
      <c r="X145" s="449"/>
      <c r="Y145" s="449"/>
      <c r="Z145" s="494"/>
      <c r="AA145" s="494"/>
      <c r="AB145" s="382">
        <f>($AB$119*$AQ$119)/1000</f>
        <v>8.2799999999999994</v>
      </c>
      <c r="AC145" s="488"/>
      <c r="AD145" s="384"/>
      <c r="AE145" s="385" t="str">
        <f>LEFT($AR$117,4)</f>
        <v>0,05</v>
      </c>
      <c r="AF145" s="486" t="str">
        <f>CONCATENATE(ROUND(RIGHT(AE145,4)*P145,0)," € | ",ROUND(((((AC145/1000)*P145)/1000)*$AD$119)+RIGHT(AE145,4)*P145,0)," €")</f>
        <v>2773 € | 2773 €</v>
      </c>
      <c r="AG145" s="387" t="str">
        <f>IF($AQ$117&gt;ROUND((((AC145*P145)/1000)*$AD$119)+RIGHT(AE145,4)*P145,0),"vielleicht Günstiger","vielleicht Teurer")</f>
        <v>vielleicht Günstiger</v>
      </c>
      <c r="AH145" s="388">
        <f t="shared" si="30"/>
        <v>0</v>
      </c>
      <c r="AI145" s="372">
        <f t="shared" si="17"/>
        <v>20</v>
      </c>
      <c r="AJ145" s="390" t="str">
        <f t="shared" si="8"/>
        <v>100€ im Jahr</v>
      </c>
      <c r="AK145" s="372"/>
      <c r="AL145" s="372"/>
      <c r="AN145" s="392">
        <v>0.03</v>
      </c>
      <c r="AO145" s="369" t="s">
        <v>317</v>
      </c>
      <c r="AP145" s="405">
        <v>0.1</v>
      </c>
      <c r="AQ145" s="303" t="str">
        <f>CONCATENATE(,$AQ$116*AN145*LEFT($AE145,5)," €| ",,$AQ$116*AP145*LEFT($AE145,5)," € || ",$AQ$117-($AQ$116*AN145*LEFT($AE145,5))," €/a | ",$AQ$117-($AQ$116*AP145*LEFT($AE145,5))," €/a")</f>
        <v>91,5 €| 305 € || 3508,5 €/a | 3295 €/a</v>
      </c>
      <c r="AR145" s="395"/>
      <c r="AS145" s="395"/>
    </row>
    <row r="146" spans="1:45" s="496" customFormat="1" ht="48.75" customHeight="1" thickBot="1">
      <c r="A146" s="495"/>
      <c r="C146" s="497" t="s">
        <v>424</v>
      </c>
      <c r="D146" s="498">
        <v>9</v>
      </c>
      <c r="E146" s="499" t="s">
        <v>425</v>
      </c>
      <c r="F146" s="499"/>
      <c r="G146" s="500">
        <v>3</v>
      </c>
      <c r="H146" s="501" t="s">
        <v>426</v>
      </c>
      <c r="I146" s="502">
        <v>5</v>
      </c>
      <c r="J146" s="503"/>
      <c r="K146" s="433"/>
      <c r="L146" s="433"/>
      <c r="M146" s="433"/>
      <c r="N146" s="3"/>
      <c r="O146" s="504"/>
      <c r="P146" s="505">
        <f>ROUND($AQ$116/((42*2000)/1000)*(2000/4.5),0)</f>
        <v>322751</v>
      </c>
      <c r="Q146" s="506" t="s">
        <v>427</v>
      </c>
      <c r="R146" s="374"/>
      <c r="S146" s="498">
        <v>9</v>
      </c>
      <c r="T146" s="507"/>
      <c r="U146" s="508"/>
      <c r="V146" s="509"/>
      <c r="W146" s="510"/>
      <c r="X146" s="510"/>
      <c r="Y146" s="510"/>
      <c r="Z146" s="510"/>
      <c r="AA146" s="511"/>
      <c r="AB146" s="382">
        <f t="shared" si="14"/>
        <v>8.2799999999999994</v>
      </c>
      <c r="AC146" s="509"/>
      <c r="AD146" s="512"/>
      <c r="AE146" s="513">
        <v>2.99</v>
      </c>
      <c r="AF146" s="514">
        <f>ROUND($AQ$116/(42*2000/1000)*(2000/4.5)/100*3,0)</f>
        <v>9683</v>
      </c>
      <c r="AG146" s="515" t="str">
        <f>IF($AQ$117&gt;ROUND((((AC146*P146)/1000)*$AD$119)+RIGHT(AE146,4)*P146,0),"vielleicht Günstiger","vielleicht Teurer")</f>
        <v>vielleicht Teurer</v>
      </c>
      <c r="AH146" s="516">
        <f t="shared" si="30"/>
        <v>0</v>
      </c>
      <c r="AI146" s="517"/>
      <c r="AJ146" s="518"/>
      <c r="AK146" s="517"/>
      <c r="AL146" s="517"/>
      <c r="AM146" s="495"/>
      <c r="AN146" s="519"/>
      <c r="AO146" s="501"/>
      <c r="AP146" s="520"/>
      <c r="AQ146" s="521"/>
      <c r="AR146" s="395"/>
      <c r="AS146" s="395"/>
    </row>
    <row r="147" spans="1:45" s="496" customFormat="1" ht="48.75" customHeight="1" thickTop="1" thickBot="1">
      <c r="A147" s="495"/>
      <c r="C147" s="497" t="s">
        <v>428</v>
      </c>
      <c r="D147" s="498">
        <v>10</v>
      </c>
      <c r="E147" s="499" t="s">
        <v>429</v>
      </c>
      <c r="F147" s="499"/>
      <c r="G147" s="500"/>
      <c r="H147" s="501"/>
      <c r="I147" s="502"/>
      <c r="J147" s="503"/>
      <c r="K147" s="433"/>
      <c r="L147" s="433"/>
      <c r="M147" s="433"/>
      <c r="N147" s="3"/>
      <c r="O147" s="504"/>
      <c r="P147" s="505"/>
      <c r="Q147" s="506"/>
      <c r="R147" s="374"/>
      <c r="S147" s="498">
        <v>9</v>
      </c>
      <c r="T147" s="507"/>
      <c r="U147" s="508"/>
      <c r="V147" s="509"/>
      <c r="W147" s="510"/>
      <c r="X147" s="510"/>
      <c r="Y147" s="510"/>
      <c r="Z147" s="510"/>
      <c r="AA147" s="511"/>
      <c r="AB147" s="382"/>
      <c r="AC147" s="509"/>
      <c r="AD147" s="512"/>
      <c r="AE147" s="513"/>
      <c r="AF147" s="514"/>
      <c r="AG147" s="515"/>
      <c r="AH147" s="516">
        <f t="shared" si="30"/>
        <v>0</v>
      </c>
      <c r="AI147" s="517"/>
      <c r="AJ147" s="518"/>
      <c r="AK147" s="517"/>
      <c r="AL147" s="517"/>
      <c r="AM147" s="495"/>
      <c r="AN147" s="519"/>
      <c r="AO147" s="501"/>
      <c r="AP147" s="520"/>
      <c r="AQ147" s="521"/>
      <c r="AR147" s="395"/>
      <c r="AS147" s="395"/>
    </row>
    <row r="148" spans="1:45" ht="53.7" customHeight="1" thickTop="1">
      <c r="C148" s="406" t="s">
        <v>430</v>
      </c>
      <c r="D148" s="522" t="s">
        <v>374</v>
      </c>
      <c r="E148" s="523" t="str">
        <f>CONCATENATE(" Diesel mit ",G148," kWh je Liter")</f>
        <v xml:space="preserve"> Diesel mit 9,8 kWh je Liter</v>
      </c>
      <c r="F148" s="523"/>
      <c r="G148" s="524">
        <v>9.8000000000000007</v>
      </c>
      <c r="H148" s="525"/>
      <c r="I148" s="525"/>
      <c r="J148" s="526">
        <v>4.5</v>
      </c>
      <c r="K148" s="527" t="s">
        <v>431</v>
      </c>
      <c r="L148" s="528"/>
      <c r="M148" s="529">
        <f>J148*J149*12</f>
        <v>162</v>
      </c>
      <c r="N148" s="530" t="s">
        <v>432</v>
      </c>
      <c r="O148" s="531"/>
      <c r="P148" s="532">
        <f>G148*$M$148</f>
        <v>1587.6000000000001</v>
      </c>
      <c r="Q148" s="522" t="s">
        <v>374</v>
      </c>
      <c r="R148" s="533"/>
      <c r="S148" s="534">
        <v>5</v>
      </c>
      <c r="T148" s="535" t="str">
        <f>CONCATENATE("Liter im Schnitt auf 100km 
sind ",ROUND(($M$150/100)*S148,0)," Liter; ",ROUND((AC148/1000*(($M$150/100)*S148)*G148)/1000,2)," t bei ",AC148, "g CO2")</f>
        <v>Liter im Schnitt auf 100km 
sind 101 Liter; 0,31 t bei 310g CO2</v>
      </c>
      <c r="U148" s="535"/>
      <c r="V148" s="535"/>
      <c r="W148" s="536"/>
      <c r="X148" s="380" t="str">
        <f>CONCATENATE("310 gCO² Fossil ", ROUND((310/1000)*((M150/100)*S148*G148)/1000,3)," t CO²;
210 Bio ", ROUND((210/1000)*((M150/100)*S148*G148)/1000,3)," t CO²;
105 Bio erzeugt ", ROUND((105/1000)*((M150/100)*S148*G148)/1000,3)," t CO²")</f>
        <v>310 gCO² Fossil 0,308 t CO²;
210 Bio 0,208 t CO²;
105 Bio erzeugt 0,104 t CO²</v>
      </c>
      <c r="Y148" s="379" t="str">
        <f>CONCATENATE("268gCO² je l Heizöl zu Heizzwecken(Heizöl S) ",ROUND(((268)*P148)/100000,3)," t CO²")</f>
        <v>268gCO² je l Heizöl zu Heizzwecken(Heizöl S) 4,255 t CO²</v>
      </c>
      <c r="Z148" s="494"/>
      <c r="AA148" s="494"/>
      <c r="AB148" s="494"/>
      <c r="AC148" s="537">
        <v>310</v>
      </c>
      <c r="AD148" s="538" t="str">
        <f t="shared" ref="AD148:AD153" si="31">CONCATENATE(ROUND((AC148/1000)*(($M$150/100)*S148*G148)/1000,2)," t | ",ROUND(((AC148/1000)*(($M$150/100)*S148*G148)/1000)*$AD$119,0)," € ")</f>
        <v xml:space="preserve">0,31 t | 62 € </v>
      </c>
      <c r="AE148" s="539">
        <v>1.8</v>
      </c>
      <c r="AF148" s="540">
        <f t="shared" ref="AF148:AF153" si="32">($M$150/100)*S148*AE148</f>
        <v>182.25</v>
      </c>
      <c r="AG148" s="541">
        <f t="shared" ref="AG148:AG153" si="33">ROUND((((AC148/10000*P148)/100)*$AD$119),0)+AF148</f>
        <v>280.25</v>
      </c>
      <c r="AH148" s="542">
        <f t="shared" ref="AH148:AH153" si="34">ROUND((AC148/1000)*(($M$150/100)*S148*G148)/1000,2)</f>
        <v>0.31</v>
      </c>
      <c r="AI148" s="542"/>
      <c r="AJ148" s="542"/>
      <c r="AK148" s="543">
        <f>AG148/900</f>
        <v>0.31138888888888888</v>
      </c>
      <c r="AL148" s="544"/>
      <c r="AN148" s="545"/>
      <c r="AO148" s="393"/>
      <c r="AP148" s="394"/>
      <c r="AQ148" s="303"/>
      <c r="AR148" s="375"/>
    </row>
    <row r="149" spans="1:45" ht="53.7" customHeight="1">
      <c r="C149" s="406"/>
      <c r="D149" s="366" t="s">
        <v>383</v>
      </c>
      <c r="E149" s="523" t="str">
        <f>CONCATENATE(" Benzin mit ",G149," kWh je Liter")</f>
        <v xml:space="preserve"> Benzin mit 8,6 kWh je Liter</v>
      </c>
      <c r="F149" s="523"/>
      <c r="G149" s="546">
        <v>8.6</v>
      </c>
      <c r="H149" s="547"/>
      <c r="I149" s="548"/>
      <c r="J149" s="549">
        <v>3</v>
      </c>
      <c r="K149" s="550" t="s">
        <v>433</v>
      </c>
      <c r="L149" s="321"/>
      <c r="M149" s="551">
        <f>ROUND(((M148/J150)*100)/12,0)</f>
        <v>169</v>
      </c>
      <c r="N149" s="552" t="str">
        <f>CONCATENATE("km im Monat (km am Werktag (20Tage im Monat)) 
",ROUND(M149/20,0)," km am Tag")</f>
        <v>km im Monat (km am Werktag (20Tage im Monat)) 
8 km am Tag</v>
      </c>
      <c r="O149" s="553"/>
      <c r="P149" s="532">
        <f>G149*$M$148</f>
        <v>1393.2</v>
      </c>
      <c r="Q149" s="366" t="s">
        <v>383</v>
      </c>
      <c r="R149" s="366"/>
      <c r="S149" s="554">
        <v>6</v>
      </c>
      <c r="T149" s="555" t="str">
        <f>CONCATENATE("Liter im Schnitt auf 100km 
sind ",ROUND(($M$150/100)*S149,0)," Liter; ",ROUND((AC149/1000*(($M$150/100)*S149)*G149)/1000,2)," t bei ",AC149, "g CO2")</f>
        <v>Liter im Schnitt auf 100km 
sind 122 Liter; 0,28 t bei 266g CO2</v>
      </c>
      <c r="U149" s="555"/>
      <c r="V149" s="555"/>
      <c r="W149" s="556"/>
      <c r="X149" s="380" t="str">
        <f>CONCATENATE("310 Fossil ", ROUND((310/1000)*((M150/100)*S149*G149)/1000,3)," t CO²;
210 Bio ", ROUND((210/1000)*((M150/100)*S149*G149)/1000,3)," t CO²;
105 Bio erzeugt ", ROUND((105/1000)*((M150/100)*S149*G149)/1000,3)," t CO²")</f>
        <v>310 Fossil 0,324 t CO²;
210 Bio 0,219 t CO²;
105 Bio erzeugt 0,11 t CO²</v>
      </c>
      <c r="Y149" s="379" t="str">
        <f>CONCATENATE("238gCO² je l Heizöl zu Heizzwecken(Heizöl S) ",ROUND(((238)*P149)/100000,3)," t CO²")</f>
        <v>238gCO² je l Heizöl zu Heizzwecken(Heizöl S) 3,316 t CO²</v>
      </c>
      <c r="Z149" s="557"/>
      <c r="AA149" s="557"/>
      <c r="AB149" s="557"/>
      <c r="AC149" s="558">
        <v>266</v>
      </c>
      <c r="AD149" s="538" t="str">
        <f t="shared" si="31"/>
        <v xml:space="preserve">0,28 t | 56 € </v>
      </c>
      <c r="AE149" s="539">
        <v>1.5</v>
      </c>
      <c r="AF149" s="540">
        <f t="shared" si="32"/>
        <v>182.25</v>
      </c>
      <c r="AG149" s="559">
        <f t="shared" si="33"/>
        <v>256.25</v>
      </c>
      <c r="AH149" s="560">
        <f t="shared" si="34"/>
        <v>0.28000000000000003</v>
      </c>
      <c r="AI149" s="560"/>
      <c r="AJ149" s="560"/>
      <c r="AK149" s="372"/>
      <c r="AL149" s="372"/>
      <c r="AN149" s="392"/>
      <c r="AO149" s="369"/>
      <c r="AP149" s="405"/>
      <c r="AQ149" s="303"/>
      <c r="AR149" s="343"/>
    </row>
    <row r="150" spans="1:45" ht="53.7" customHeight="1" thickBot="1">
      <c r="C150" s="406"/>
      <c r="D150" s="366" t="s">
        <v>386</v>
      </c>
      <c r="E150" s="523" t="str">
        <f>CONCATENATE("Flüssiggas (LPG) ",G150," kWh je Kilo (Butan/Propan oft aus aus Erdölrafinierung)")</f>
        <v>Flüssiggas (LPG) 6,8 kWh je Kilo (Butan/Propan oft aus aus Erdölrafinierung)</v>
      </c>
      <c r="F150" s="523"/>
      <c r="G150" s="546">
        <v>6.8</v>
      </c>
      <c r="H150" s="547"/>
      <c r="I150" s="548"/>
      <c r="J150" s="561">
        <v>8</v>
      </c>
      <c r="K150" s="562" t="str">
        <f>CONCATENATE("l im Schnitt auf 100km")</f>
        <v>l im Schnitt auf 100km</v>
      </c>
      <c r="L150" s="563"/>
      <c r="M150" s="564">
        <f>ROUND((M148/J150)*100,0)</f>
        <v>2025</v>
      </c>
      <c r="N150" s="565" t="s">
        <v>434</v>
      </c>
      <c r="O150" s="566"/>
      <c r="P150" s="532">
        <f>G150*$M$148</f>
        <v>1101.5999999999999</v>
      </c>
      <c r="Q150" s="366" t="s">
        <v>386</v>
      </c>
      <c r="R150" s="366"/>
      <c r="S150" s="554">
        <v>9</v>
      </c>
      <c r="T150" s="555" t="str">
        <f>CONCATENATE("Liter im Schnitt auf 100km 
sind ",ROUND(($M$150/100)*S150,0)," Liter; ",ROUND((AC150/1000*(($M$150/100)*S150)*G150)/1000,2)," t bei ",AC150, "g CO2")</f>
        <v>Liter im Schnitt auf 100km 
sind 182 Liter; 0,33 t bei 270g CO2</v>
      </c>
      <c r="U150" s="555"/>
      <c r="V150" s="555"/>
      <c r="W150" s="556"/>
      <c r="X150" s="403" t="str">
        <f>CONCATENATE("240  Erdgas ", ROUND((240/1000)*((M150/100)*S150*G150)/1000,3)," t CO²;
270 Flüssig ", ROUND((270/1000)*((M150/100)*S150*G150)/1000,3)," t CO²;
140 Bio ", ROUND((140/1000)*((M150/100)*S150*G150)/1000,3)," t CO²;
75 Bio erzeugt ", ROUND((75/1000)*((M150/100)*S150*G150)/1000,3)," t CO²;
180 Biogenes Flüssiggas ", ROUND((180/1000)*((M150/100)*S150*G150)/1000,3)," t CO²")</f>
        <v>240  Erdgas 0,297 t CO²;
270 Flüssig 0,335 t CO²;
140 Bio 0,174 t CO²;
75 Bio erzeugt 0,093 t CO²;
180 Biogenes Flüssiggas 0,223 t CO²</v>
      </c>
      <c r="Y150" s="379" t="str">
        <f>CONCATENATE("182 gCO² Erdgas, verflüssigt ",ROUND(((182/1000)*P150)/1000,3)," t CO²")</f>
        <v>182 gCO² Erdgas, verflüssigt 0,2 t CO²</v>
      </c>
      <c r="Z150" s="557"/>
      <c r="AA150" s="557"/>
      <c r="AB150" s="557"/>
      <c r="AC150" s="558">
        <v>270</v>
      </c>
      <c r="AD150" s="538" t="str">
        <f t="shared" si="31"/>
        <v xml:space="preserve">0,33 t | 67 € </v>
      </c>
      <c r="AE150" s="539">
        <v>1.1000000000000001</v>
      </c>
      <c r="AF150" s="540">
        <f t="shared" si="32"/>
        <v>200.47500000000002</v>
      </c>
      <c r="AG150" s="559">
        <f t="shared" si="33"/>
        <v>259.47500000000002</v>
      </c>
      <c r="AH150" s="560">
        <f t="shared" si="34"/>
        <v>0.33</v>
      </c>
      <c r="AI150" s="560"/>
      <c r="AJ150" s="560"/>
      <c r="AK150" s="372"/>
      <c r="AL150" s="372"/>
      <c r="AN150" s="392"/>
      <c r="AO150" s="369"/>
      <c r="AP150" s="405"/>
      <c r="AQ150" s="303"/>
      <c r="AR150" s="343"/>
    </row>
    <row r="151" spans="1:45" ht="53.7" customHeight="1">
      <c r="C151" s="406"/>
      <c r="D151" s="366" t="s">
        <v>389</v>
      </c>
      <c r="E151" s="523" t="str">
        <f>CONCATENATE("Erdgas/CNG ",G151," kWh je Kilo                 (sehr oft aus Bio-Methan)")</f>
        <v>Erdgas/CNG 13,3 kWh je Kilo                 (sehr oft aus Bio-Methan)</v>
      </c>
      <c r="F151" s="523"/>
      <c r="G151" s="546">
        <v>13.3</v>
      </c>
      <c r="H151" s="547"/>
      <c r="I151" s="548"/>
      <c r="N151" s="3"/>
      <c r="O151" s="271"/>
      <c r="P151" s="567">
        <f>G151*$M$148</f>
        <v>2154.6</v>
      </c>
      <c r="Q151" s="366" t="s">
        <v>389</v>
      </c>
      <c r="R151" s="366"/>
      <c r="S151" s="554">
        <v>5</v>
      </c>
      <c r="T151" s="555" t="str">
        <f>CONCATENATE("Liter im Schnitt auf 100km 
sind ",ROUND(($M$150/100)*S151,0)," kg; ",ROUND((AC151/1000*(($M$150/100)*S151)*G151)/1000,2)," t bei ",AC151, "g CO2")</f>
        <v>Liter im Schnitt auf 100km 
sind 101 kg; 0,1 t bei 75g CO2</v>
      </c>
      <c r="U151" s="555"/>
      <c r="V151" s="555"/>
      <c r="W151" s="556"/>
      <c r="X151" s="403" t="str">
        <f>CONCATENATE("240  Erdgas ", ROUND((240/1000)*((M150/100)*S151*G151)/1000,3)," t CO²;
270 Flüssig ", ROUND((270/1000)*((M150/100)*S151*G151)/1000,3)," t CO²;
140 Bio ", ROUND((140/1000)*((M150/100)*S151*G151)/1000,3)," t CO²;
75 Bio erzeugt ", ROUND((75/1000)*((M150/100)*S151*G151)/1000,3)," t CO²;
180 Biogenes Flüssiggas ", ROUND((180/1000)*((M150/100)*S151*G151)/1000,3)," t CO²")</f>
        <v>240  Erdgas 0,323 t CO²;
270 Flüssig 0,364 t CO²;
140 Bio 0,189 t CO²;
75 Bio erzeugt 0,101 t CO²;
180 Biogenes Flüssiggas 0,242 t CO²</v>
      </c>
      <c r="Y151" s="379" t="str">
        <f>CONCATENATE("182 Erdgas, verflüssigt ",ROUND(((182.0448/1000)*P151)/1000,3)," t CO²")</f>
        <v>182 Erdgas, verflüssigt 0,392 t CO²</v>
      </c>
      <c r="Z151" s="557"/>
      <c r="AA151" s="557"/>
      <c r="AB151" s="557"/>
      <c r="AC151" s="558">
        <v>75</v>
      </c>
      <c r="AD151" s="538" t="str">
        <f t="shared" si="31"/>
        <v xml:space="preserve">0,1 t | 20 € </v>
      </c>
      <c r="AE151" s="539">
        <v>0.8</v>
      </c>
      <c r="AF151" s="540">
        <f t="shared" si="32"/>
        <v>81</v>
      </c>
      <c r="AG151" s="559">
        <f t="shared" si="33"/>
        <v>113</v>
      </c>
      <c r="AH151" s="560">
        <f t="shared" si="34"/>
        <v>0.1</v>
      </c>
      <c r="AI151" s="560"/>
      <c r="AJ151" s="560"/>
      <c r="AK151" s="372"/>
      <c r="AL151" s="372"/>
      <c r="AN151" s="392"/>
      <c r="AO151" s="369"/>
      <c r="AP151" s="405"/>
      <c r="AQ151" s="303"/>
      <c r="AR151" s="343"/>
      <c r="AS151" s="84" t="s">
        <v>435</v>
      </c>
    </row>
    <row r="152" spans="1:45" ht="53.7" customHeight="1">
      <c r="C152" s="406"/>
      <c r="D152" s="366" t="s">
        <v>397</v>
      </c>
      <c r="E152" s="523" t="s">
        <v>436</v>
      </c>
      <c r="F152" s="523"/>
      <c r="G152" s="546">
        <v>33</v>
      </c>
      <c r="H152" s="547"/>
      <c r="I152" s="548"/>
      <c r="N152" s="3"/>
      <c r="O152" s="271"/>
      <c r="P152" s="567"/>
      <c r="Q152" s="366" t="s">
        <v>397</v>
      </c>
      <c r="R152" s="366"/>
      <c r="S152" s="554">
        <v>1</v>
      </c>
      <c r="T152" s="555" t="str">
        <f>CONCATENATE("Liter im Schnitt auf 100km 
sind ",ROUND(($M$150/100)*S152,0)," kg; ",ROUND((AC152/1000*(($M$150/100)*S152)*G152)/1000,2)," t bei ",AC152, "g CO2")</f>
        <v>Liter im Schnitt auf 100km 
sind 20 kg; 0,2 t bei 300g CO2</v>
      </c>
      <c r="U152" s="555"/>
      <c r="V152" s="555"/>
      <c r="W152" s="556"/>
      <c r="X152" s="403"/>
      <c r="Y152" s="379"/>
      <c r="Z152" s="557"/>
      <c r="AA152" s="557"/>
      <c r="AB152" s="557"/>
      <c r="AC152" s="558">
        <v>300</v>
      </c>
      <c r="AD152" s="538" t="str">
        <f t="shared" si="31"/>
        <v xml:space="preserve">0,2 t | 40 € </v>
      </c>
      <c r="AE152" s="568">
        <v>10</v>
      </c>
      <c r="AF152" s="540">
        <f t="shared" si="32"/>
        <v>202.5</v>
      </c>
      <c r="AG152" s="559">
        <f t="shared" si="33"/>
        <v>202.5</v>
      </c>
      <c r="AH152" s="560">
        <f t="shared" si="34"/>
        <v>0.2</v>
      </c>
      <c r="AI152" s="560"/>
      <c r="AJ152" s="560"/>
      <c r="AK152" s="372"/>
      <c r="AL152" s="372"/>
      <c r="AN152" s="392"/>
      <c r="AO152" s="369"/>
      <c r="AP152" s="405"/>
      <c r="AQ152" s="303"/>
      <c r="AR152" s="343"/>
      <c r="AS152" s="569" t="s">
        <v>437</v>
      </c>
    </row>
    <row r="153" spans="1:45" ht="53.7" customHeight="1">
      <c r="C153" s="423"/>
      <c r="D153" s="366" t="s">
        <v>399</v>
      </c>
      <c r="E153" s="523" t="s">
        <v>81</v>
      </c>
      <c r="F153" s="523"/>
      <c r="G153" s="546">
        <v>1</v>
      </c>
      <c r="H153" s="132"/>
      <c r="I153" s="570"/>
      <c r="J153" s="132"/>
      <c r="K153" s="132"/>
      <c r="L153" s="132"/>
      <c r="M153" s="132"/>
      <c r="N153" s="132"/>
      <c r="O153" s="571"/>
      <c r="P153" s="572">
        <f>(M150/100)*S153</f>
        <v>283.5</v>
      </c>
      <c r="Q153" s="366" t="s">
        <v>399</v>
      </c>
      <c r="R153" s="573"/>
      <c r="S153" s="554">
        <v>14</v>
      </c>
      <c r="T153" s="555" t="str">
        <f>CONCATENATE("Liter im Schnitt auf 100km 
sind ",ROUND(($M$150/100)*S153,0)," kWh; ",ROUND((AC153/1000*(($M$150/100)*S153)*G153)/1000,2)," t bei ",AC153, "g CO2")</f>
        <v>Liter im Schnitt auf 100km 
sind 284 kWh; 0,16 t bei 560g CO2</v>
      </c>
      <c r="U153" s="555"/>
      <c r="V153" s="555"/>
      <c r="W153" s="556"/>
      <c r="X153" s="403" t="str">
        <f>CONCATENATE("560 Netzbezug ", ROUND((560/1000)*((M150/100)*S153*G153)/1000,3)," t CO²;
0 Gebäude nah erzeugt")</f>
        <v>560 Netzbezug 0,159 t CO²;
0 Gebäude nah erzeugt</v>
      </c>
      <c r="Y153" s="557">
        <v>0</v>
      </c>
      <c r="Z153" s="557"/>
      <c r="AA153" s="557"/>
      <c r="AB153" s="557"/>
      <c r="AC153" s="558">
        <v>560</v>
      </c>
      <c r="AD153" s="538" t="str">
        <f t="shared" si="31"/>
        <v xml:space="preserve">0,16 t | 32 € </v>
      </c>
      <c r="AE153" s="574">
        <v>0.4</v>
      </c>
      <c r="AF153" s="540">
        <f t="shared" si="32"/>
        <v>113.4</v>
      </c>
      <c r="AG153" s="559">
        <f t="shared" si="33"/>
        <v>145.4</v>
      </c>
      <c r="AH153" s="560">
        <f t="shared" si="34"/>
        <v>0.16</v>
      </c>
      <c r="AI153" s="560"/>
      <c r="AJ153" s="560"/>
      <c r="AK153" s="372"/>
      <c r="AL153" s="372"/>
      <c r="AN153" s="392"/>
      <c r="AO153" s="369"/>
      <c r="AP153" s="405"/>
      <c r="AQ153" s="303"/>
      <c r="AR153" s="375"/>
    </row>
    <row r="154" spans="1:45" ht="15">
      <c r="C154" s="3" t="s">
        <v>438</v>
      </c>
      <c r="N154" s="3"/>
      <c r="S154" s="575"/>
    </row>
    <row r="155" spans="1:45" s="576" customFormat="1" ht="30.3">
      <c r="A155" s="230"/>
      <c r="C155" s="577" t="s">
        <v>439</v>
      </c>
      <c r="Q155" s="578"/>
      <c r="R155" s="578"/>
      <c r="S155" s="579"/>
      <c r="AM155" s="230"/>
      <c r="AQ155" s="580"/>
      <c r="AR155" s="578"/>
    </row>
    <row r="156" spans="1:45">
      <c r="C156" s="3" t="s">
        <v>440</v>
      </c>
      <c r="K156" s="283" t="s">
        <v>441</v>
      </c>
    </row>
    <row r="157" spans="1:45" ht="74.400000000000006" customHeight="1">
      <c r="C157" s="3" t="s">
        <v>442</v>
      </c>
      <c r="D157" s="366" t="s">
        <v>374</v>
      </c>
      <c r="E157" s="83" t="s">
        <v>443</v>
      </c>
      <c r="F157" s="83"/>
      <c r="G157" s="83"/>
      <c r="H157" s="83"/>
      <c r="I157" s="83"/>
      <c r="J157" s="48"/>
      <c r="K157" s="83" t="s">
        <v>444</v>
      </c>
      <c r="L157" s="83"/>
      <c r="M157" s="83"/>
      <c r="N157" s="83"/>
      <c r="O157" s="83"/>
      <c r="P157" s="48"/>
      <c r="AH157" s="581"/>
      <c r="AI157" s="581"/>
      <c r="AJ157" s="581"/>
      <c r="AM157" s="3"/>
    </row>
    <row r="158" spans="1:45" ht="75.3" customHeight="1">
      <c r="C158" s="3" t="s">
        <v>445</v>
      </c>
      <c r="D158" s="366" t="s">
        <v>383</v>
      </c>
      <c r="E158" s="83" t="s">
        <v>446</v>
      </c>
      <c r="F158" s="83"/>
      <c r="G158" s="83"/>
      <c r="H158" s="83"/>
      <c r="I158" s="83"/>
      <c r="J158" s="83"/>
      <c r="K158" s="83"/>
      <c r="L158" s="83"/>
      <c r="M158" s="83"/>
      <c r="N158" s="83"/>
      <c r="O158" s="83"/>
      <c r="P158" s="48"/>
      <c r="AH158" s="581"/>
      <c r="AI158" s="581"/>
      <c r="AJ158" s="581"/>
    </row>
    <row r="159" spans="1:45" ht="50.1" customHeight="1">
      <c r="C159" s="3" t="s">
        <v>447</v>
      </c>
      <c r="D159" s="366" t="s">
        <v>386</v>
      </c>
      <c r="E159" s="223" t="s">
        <v>448</v>
      </c>
      <c r="F159" s="223"/>
      <c r="G159" s="223"/>
      <c r="H159" s="223"/>
      <c r="I159" s="223"/>
      <c r="J159" s="223"/>
      <c r="K159" s="83"/>
      <c r="L159" s="83"/>
      <c r="M159" s="83"/>
      <c r="N159" s="83"/>
      <c r="O159" s="83"/>
      <c r="P159" s="48"/>
      <c r="AH159" s="581"/>
      <c r="AI159" s="581"/>
      <c r="AJ159" s="581"/>
      <c r="AN159" s="581"/>
    </row>
    <row r="160" spans="1:45">
      <c r="K160" s="316" t="s">
        <v>449</v>
      </c>
    </row>
    <row r="161" spans="3:74">
      <c r="D161" s="576"/>
      <c r="E161" s="582"/>
      <c r="F161" s="582" t="s">
        <v>450</v>
      </c>
      <c r="G161" s="583">
        <v>10</v>
      </c>
      <c r="H161" s="584"/>
      <c r="I161" s="584"/>
      <c r="J161" s="584"/>
      <c r="K161" s="584"/>
      <c r="L161" s="584"/>
      <c r="M161" s="584"/>
      <c r="N161" s="584"/>
      <c r="O161" s="584"/>
      <c r="AL161" s="581"/>
      <c r="AY161" s="1"/>
      <c r="AZ161" s="1"/>
      <c r="BA161" s="1"/>
      <c r="BB161" s="1"/>
      <c r="BC161" s="585"/>
      <c r="BD161" s="1"/>
      <c r="BE161" s="585"/>
      <c r="BF161" s="1"/>
      <c r="BG161" s="585"/>
      <c r="BH161" s="1"/>
      <c r="BI161" s="585"/>
      <c r="BJ161" s="1"/>
      <c r="BK161" s="585"/>
      <c r="BL161" s="1"/>
      <c r="BM161" s="585"/>
      <c r="BN161" s="1"/>
      <c r="BO161" s="585"/>
      <c r="BP161" s="1"/>
      <c r="BQ161" s="585"/>
      <c r="BR161" s="1"/>
      <c r="BS161" s="585"/>
      <c r="BT161" s="1"/>
      <c r="BU161" s="585"/>
      <c r="BV161" s="1"/>
    </row>
    <row r="162" spans="3:74" ht="13.5" customHeight="1">
      <c r="E162" s="584"/>
      <c r="F162" s="584" t="s">
        <v>451</v>
      </c>
      <c r="G162" s="586">
        <v>9</v>
      </c>
      <c r="H162" s="584"/>
      <c r="I162" s="584"/>
      <c r="J162" s="584"/>
      <c r="K162" s="584"/>
      <c r="L162" s="584"/>
      <c r="M162" s="584"/>
      <c r="N162" s="584"/>
      <c r="O162" s="584"/>
      <c r="V162" s="581"/>
      <c r="W162" s="581"/>
      <c r="X162" s="581"/>
      <c r="AL162" s="581"/>
      <c r="AY162" s="585" t="s">
        <v>3</v>
      </c>
      <c r="AZ162" s="587">
        <v>30</v>
      </c>
      <c r="BA162" s="3" t="s">
        <v>270</v>
      </c>
      <c r="BB162" s="1"/>
      <c r="BC162" s="588" t="s">
        <v>452</v>
      </c>
      <c r="BD162" s="1"/>
      <c r="BE162" s="585"/>
      <c r="BF162" s="1"/>
      <c r="BG162" s="585"/>
      <c r="BH162" s="1"/>
      <c r="BI162" s="585"/>
      <c r="BJ162" s="1"/>
      <c r="BK162" s="585"/>
      <c r="BL162" s="1"/>
      <c r="BM162" s="585"/>
      <c r="BN162" s="1"/>
      <c r="BO162" s="585"/>
      <c r="BP162" s="1"/>
      <c r="BQ162" s="585"/>
      <c r="BR162" s="1"/>
      <c r="BS162" s="585"/>
      <c r="BT162" s="1"/>
      <c r="BU162" s="585"/>
      <c r="BV162" s="1"/>
    </row>
    <row r="163" spans="3:74" ht="13.5" customHeight="1">
      <c r="D163" s="132"/>
      <c r="E163" s="589"/>
      <c r="F163" s="589" t="s">
        <v>453</v>
      </c>
      <c r="G163" s="589">
        <f>ROUND((G161/100)^2/4*PI()*G162,3)</f>
        <v>7.0999999999999994E-2</v>
      </c>
      <c r="H163" s="584"/>
      <c r="I163" s="584" t="s">
        <v>454</v>
      </c>
      <c r="J163" s="584">
        <f>(1/3)*((G161/100)/2)^2*PI()*G162</f>
        <v>2.3561944901923454E-2</v>
      </c>
      <c r="K163" s="584"/>
      <c r="L163" s="584"/>
      <c r="M163" s="584"/>
      <c r="N163" s="584"/>
      <c r="O163" s="584"/>
      <c r="V163" s="581"/>
      <c r="W163" s="581"/>
      <c r="X163" s="581"/>
      <c r="AL163" s="581"/>
      <c r="AY163" s="585" t="s">
        <v>29</v>
      </c>
      <c r="AZ163" s="587">
        <v>200</v>
      </c>
      <c r="BA163" s="3" t="s">
        <v>270</v>
      </c>
      <c r="BB163" s="1"/>
      <c r="BC163" s="49" t="s">
        <v>455</v>
      </c>
      <c r="BD163" s="1"/>
      <c r="BE163" s="585"/>
      <c r="BF163" s="1"/>
      <c r="BG163" s="585"/>
      <c r="BH163" s="1"/>
      <c r="BI163" s="585"/>
      <c r="BJ163" s="1"/>
      <c r="BK163" s="585"/>
      <c r="BL163" s="1"/>
      <c r="BM163" s="585"/>
      <c r="BN163" s="1"/>
      <c r="BO163" s="585"/>
      <c r="BP163" s="1"/>
      <c r="BQ163" s="585"/>
      <c r="BR163" s="1"/>
      <c r="BS163" s="585"/>
      <c r="BT163" s="1"/>
      <c r="BU163" s="585"/>
      <c r="BV163" s="1"/>
    </row>
    <row r="164" spans="3:74" ht="13.5" customHeight="1">
      <c r="E164" s="590" t="s">
        <v>456</v>
      </c>
      <c r="F164" s="590"/>
      <c r="G164" s="591">
        <f>G163</f>
        <v>7.0999999999999994E-2</v>
      </c>
      <c r="H164" s="584"/>
      <c r="I164" s="584"/>
      <c r="J164" s="584"/>
      <c r="K164" s="584"/>
      <c r="L164" s="584"/>
      <c r="M164" s="584"/>
      <c r="N164" s="584"/>
      <c r="O164" s="584"/>
      <c r="V164" s="581"/>
      <c r="W164" s="581"/>
      <c r="X164" s="581"/>
      <c r="AY164" s="1"/>
      <c r="AZ164" s="1"/>
      <c r="BA164" s="1"/>
      <c r="BB164" s="1"/>
      <c r="BC164" s="585"/>
      <c r="BD164" s="1"/>
      <c r="BE164" s="585"/>
      <c r="BF164" s="1"/>
      <c r="BG164" s="585"/>
      <c r="BH164" s="1"/>
      <c r="BI164" s="585"/>
      <c r="BJ164" s="1"/>
      <c r="BK164" s="585"/>
      <c r="BL164" s="1"/>
      <c r="BM164" s="585"/>
      <c r="BN164" s="1"/>
      <c r="BO164" s="585"/>
      <c r="BP164" s="1"/>
      <c r="BQ164" s="585"/>
      <c r="BR164" s="1"/>
      <c r="BS164" s="585"/>
      <c r="BT164" s="1"/>
      <c r="BU164" s="585"/>
      <c r="BV164" s="1"/>
    </row>
    <row r="165" spans="3:74" ht="12.3" customHeight="1">
      <c r="E165" s="590" t="s">
        <v>457</v>
      </c>
      <c r="F165" s="590"/>
      <c r="G165" s="586">
        <v>470</v>
      </c>
      <c r="H165" s="584" t="s">
        <v>458</v>
      </c>
      <c r="I165" s="592">
        <f>ROUND(((G165*G164/2)*3.67)/1000,2)</f>
        <v>0.06</v>
      </c>
      <c r="J165" s="53" t="str">
        <f>CONCATENATE("t CO2 (gebunden)" )</f>
        <v>t CO2 (gebunden)</v>
      </c>
      <c r="K165" s="592"/>
      <c r="L165" s="592"/>
      <c r="M165" s="592"/>
      <c r="O165" s="592"/>
      <c r="AH165" s="581"/>
      <c r="AI165" s="581"/>
      <c r="AJ165" s="581"/>
      <c r="AN165" s="581"/>
      <c r="AY165" s="593" t="s">
        <v>459</v>
      </c>
    </row>
    <row r="166" spans="3:74" ht="13.5" customHeight="1">
      <c r="D166" s="592" t="s">
        <v>460</v>
      </c>
      <c r="E166" s="584"/>
      <c r="F166" s="584" t="s">
        <v>461</v>
      </c>
      <c r="G166" s="586">
        <v>10</v>
      </c>
      <c r="H166" s="584" t="s">
        <v>458</v>
      </c>
      <c r="I166" s="592">
        <f>I165*G166</f>
        <v>0.6</v>
      </c>
      <c r="J166" s="53" t="str">
        <f>CONCATENATE("t CO2 (gebunden)" )</f>
        <v>t CO2 (gebunden)</v>
      </c>
      <c r="K166" s="592"/>
      <c r="L166" s="592"/>
      <c r="M166" s="592"/>
      <c r="O166" s="592"/>
      <c r="V166" s="581"/>
      <c r="W166" s="581"/>
      <c r="X166" s="581"/>
      <c r="Y166" s="581"/>
      <c r="Z166" s="581"/>
      <c r="AA166" s="581"/>
      <c r="AB166" s="581"/>
      <c r="AY166" s="593"/>
      <c r="AZ166" s="188"/>
      <c r="BA166" s="1" t="s">
        <v>462</v>
      </c>
      <c r="BB166" s="1" t="s">
        <v>463</v>
      </c>
      <c r="BC166" s="594">
        <v>500</v>
      </c>
      <c r="BD166" s="595" t="str">
        <f>CONCATENATE("(",AY162," € | ",AY163," €)")</f>
        <v>(1.) € | 2.) €)</v>
      </c>
      <c r="BE166" s="594">
        <v>1400</v>
      </c>
      <c r="BF166" s="595" t="s">
        <v>21</v>
      </c>
      <c r="BG166" s="594">
        <v>1500</v>
      </c>
      <c r="BH166" s="595" t="s">
        <v>21</v>
      </c>
      <c r="BI166" s="594">
        <v>2000</v>
      </c>
      <c r="BJ166" s="595" t="s">
        <v>21</v>
      </c>
      <c r="BK166" s="594">
        <v>2500</v>
      </c>
      <c r="BL166" s="595" t="s">
        <v>21</v>
      </c>
      <c r="BM166" s="594">
        <v>3000</v>
      </c>
      <c r="BN166" s="595" t="s">
        <v>21</v>
      </c>
      <c r="BO166" s="594">
        <v>3500</v>
      </c>
      <c r="BP166" s="595" t="s">
        <v>21</v>
      </c>
      <c r="BQ166" s="594">
        <v>4000</v>
      </c>
      <c r="BR166" s="595" t="s">
        <v>21</v>
      </c>
      <c r="BS166" s="594">
        <v>4500</v>
      </c>
      <c r="BT166" s="595" t="s">
        <v>21</v>
      </c>
      <c r="BU166" s="594">
        <v>5000</v>
      </c>
      <c r="BV166" s="595" t="s">
        <v>21</v>
      </c>
    </row>
    <row r="167" spans="3:74" ht="13.5" customHeight="1">
      <c r="C167" s="3" t="s">
        <v>464</v>
      </c>
      <c r="D167" s="3">
        <v>410</v>
      </c>
      <c r="N167" s="3"/>
      <c r="V167" s="581"/>
      <c r="W167" s="581"/>
      <c r="X167" s="581"/>
      <c r="Y167" s="581"/>
      <c r="Z167" s="581"/>
      <c r="AA167" s="581"/>
      <c r="AB167" s="581"/>
      <c r="AY167" s="596"/>
      <c r="AZ167" s="597" t="s">
        <v>210</v>
      </c>
      <c r="BA167" s="598">
        <v>2494</v>
      </c>
      <c r="BB167" s="599">
        <v>0.40100000000000002</v>
      </c>
      <c r="BC167" s="600" t="str">
        <f>CONCATENATE((BC$166*$BB167)/1000," t CO2")</f>
        <v>0,2005 t CO2</v>
      </c>
      <c r="BD167" s="601" t="str">
        <f>CONCATENATE(ROUND(((BC$166*$BB167)/1000)*AZ$162,0),"€ |",ROUND(((BC$166*$BB167)/1000)*$AZ$163,0),"€")</f>
        <v>6€ |40€</v>
      </c>
      <c r="BE167" s="600" t="str">
        <f>CONCATENATE((BE$166*$BB167)/1000," t CO2")</f>
        <v>0,5614 t CO2</v>
      </c>
      <c r="BF167" s="601" t="str">
        <f>CONCATENATE(ROUND(((BE$166*$BB167)/1000)*$AZ$162,0),"€ |",ROUND(((BE$166*$BB167)/1000)*$AZ$163,0),"€")</f>
        <v>17€ |112€</v>
      </c>
      <c r="BG167" s="600">
        <f>(BG$166*$BB167)/1000</f>
        <v>0.60150000000000003</v>
      </c>
      <c r="BH167" s="601" t="str">
        <f>CONCATENATE(ROUND(BG167*$AZ$162,0),"€ |",ROUND(BG167*$AZ$163,0),"€")</f>
        <v>18€ |120€</v>
      </c>
      <c r="BI167" s="600">
        <f>(BI$166*$BB167)/1000</f>
        <v>0.80200000000000005</v>
      </c>
      <c r="BJ167" s="601" t="str">
        <f>CONCATENATE(ROUND(BI167*$AZ$162,0),"€ |",ROUND(BI167*$AZ$163,0),"€")</f>
        <v>24€ |160€</v>
      </c>
      <c r="BK167" s="600">
        <f>(BK$166*$BB167)/1000</f>
        <v>1.0025000000000002</v>
      </c>
      <c r="BL167" s="601" t="str">
        <f>CONCATENATE(ROUND(BK167*$AZ$162,0),"€ |",ROUND(BK167*$AZ$163,0),"€")</f>
        <v>30€ |201€</v>
      </c>
      <c r="BM167" s="600">
        <f>(BM$166*$BB167)/1000</f>
        <v>1.2030000000000001</v>
      </c>
      <c r="BN167" s="601" t="str">
        <f>CONCATENATE(ROUND(BM167*$AZ$162,0),"€ |",ROUND(BM167*$AZ$163,0),"€")</f>
        <v>36€ |241€</v>
      </c>
      <c r="BO167" s="600">
        <f>(BO$166*$BB167)/1000</f>
        <v>1.4035</v>
      </c>
      <c r="BP167" s="601" t="str">
        <f>CONCATENATE(ROUND(BO167*$AZ$162,0),"€ |",ROUND(BO167*$AZ$163,0),"€")</f>
        <v>42€ |281€</v>
      </c>
      <c r="BQ167" s="600">
        <f>(BQ$166*$BB167)/1000</f>
        <v>1.6040000000000001</v>
      </c>
      <c r="BR167" s="601" t="str">
        <f>CONCATENATE(ROUND(BQ167*$AZ$162,0),"€ |",ROUND(BQ167*$AZ$163,0),"€")</f>
        <v>48€ |321€</v>
      </c>
      <c r="BS167" s="600">
        <f>(BS$166*$BB167)/1000</f>
        <v>1.8045</v>
      </c>
      <c r="BT167" s="601" t="str">
        <f>CONCATENATE(ROUND(BS167*$AZ$162,0),"€ |",ROUND(BS167*$AZ$163,0),"€")</f>
        <v>54€ |361€</v>
      </c>
      <c r="BU167" s="600">
        <f>(BU$166*$BB167)/1000</f>
        <v>2.0050000000000003</v>
      </c>
      <c r="BV167" s="601" t="str">
        <f>CONCATENATE(ROUND(BU167*$AZ$162,0),"€ |",ROUND(BU167*$AZ$163,0),"€")</f>
        <v>60€ |401€</v>
      </c>
    </row>
    <row r="168" spans="3:74" ht="13.5" customHeight="1">
      <c r="C168" s="3" t="s">
        <v>465</v>
      </c>
      <c r="D168" s="3">
        <v>410</v>
      </c>
      <c r="N168" s="3"/>
      <c r="V168" s="581"/>
      <c r="W168" s="581"/>
      <c r="X168" s="581"/>
      <c r="Y168" s="581"/>
      <c r="Z168" s="581"/>
      <c r="AA168" s="581"/>
      <c r="AB168" s="581"/>
      <c r="AY168" s="602" t="s">
        <v>466</v>
      </c>
      <c r="AZ168" s="597" t="s">
        <v>321</v>
      </c>
      <c r="BA168" s="598">
        <v>5497</v>
      </c>
      <c r="BB168" s="599">
        <v>0.182</v>
      </c>
      <c r="BC168" s="600" t="str">
        <f>CONCATENATE((BC$166*$BB168)/1000," t CO2")</f>
        <v>0,091 t CO2</v>
      </c>
      <c r="BD168" s="601" t="str">
        <f>CONCATENATE(ROUND(((BC$166*$BB168)/1000)*AZ$162,0),"€ |",ROUND(((BC$166*$BB168)/1000)*$AZ$163,0),"€")</f>
        <v>3€ |18€</v>
      </c>
      <c r="BE168" s="600" t="str">
        <f>CONCATENATE((BE$166*$BB168)/1000," t CO2")</f>
        <v>0,2548 t CO2</v>
      </c>
      <c r="BF168" s="601" t="str">
        <f>CONCATENATE(ROUND(((BE$166*$BB168)/1000)*$AZ$162,0),"€ |",ROUND(((BE$166*$BB168)/1000)*$AZ$163,0),"€")</f>
        <v>8€ |51€</v>
      </c>
      <c r="BG168" s="600">
        <f>(BG$166*$BB168)/1000</f>
        <v>0.27300000000000002</v>
      </c>
      <c r="BH168" s="601" t="str">
        <f>CONCATENATE(ROUND(BG168*$AZ$162,0),"€ |",ROUND(BG168*$AZ$163,0),"€")</f>
        <v>8€ |55€</v>
      </c>
      <c r="BI168" s="600">
        <f>(BI$166*$BB168)/1000</f>
        <v>0.36399999999999999</v>
      </c>
      <c r="BJ168" s="601" t="str">
        <f>CONCATENATE(ROUND(BI168*$AZ$162,0),"€ |",ROUND(BI168*$AZ$163,0),"€")</f>
        <v>11€ |73€</v>
      </c>
      <c r="BK168" s="600">
        <f>(BK$166*$BB168)/1000</f>
        <v>0.45500000000000002</v>
      </c>
      <c r="BL168" s="601" t="str">
        <f>CONCATENATE(ROUND(BK168*$AZ$162,0),"€ |",ROUND(BK168*$AZ$163,0),"€")</f>
        <v>14€ |91€</v>
      </c>
      <c r="BM168" s="600">
        <f>(BM$166*$BB168)/1000</f>
        <v>0.54600000000000004</v>
      </c>
      <c r="BN168" s="601" t="str">
        <f>CONCATENATE(ROUND(BM168*$AZ$162,0),"€ |",ROUND(BM168*$AZ$163,0),"€")</f>
        <v>16€ |109€</v>
      </c>
      <c r="BO168" s="600">
        <f>(BO$166*$BB168)/1000</f>
        <v>0.63700000000000001</v>
      </c>
      <c r="BP168" s="601" t="str">
        <f>CONCATENATE(ROUND(BO168*$AZ$162,0),"€ |",ROUND(BO168*$AZ$163,0),"€")</f>
        <v>19€ |127€</v>
      </c>
      <c r="BQ168" s="600">
        <f>(BQ$166*$BB168)/1000</f>
        <v>0.72799999999999998</v>
      </c>
      <c r="BR168" s="601" t="str">
        <f>CONCATENATE(ROUND(BQ168*$AZ$162,0),"€ |",ROUND(BQ168*$AZ$163,0),"€")</f>
        <v>22€ |146€</v>
      </c>
      <c r="BS168" s="600">
        <f>(BS$166*$BB168)/1000</f>
        <v>0.81899999999999995</v>
      </c>
      <c r="BT168" s="601" t="str">
        <f>CONCATENATE(ROUND(BS168*$AZ$162,0),"€ |",ROUND(BS168*$AZ$163,0),"€")</f>
        <v>25€ |164€</v>
      </c>
      <c r="BU168" s="600">
        <f>(BU$166*$BB168)/1000</f>
        <v>0.91</v>
      </c>
      <c r="BV168" s="601" t="str">
        <f>CONCATENATE(ROUND(BU168*$AZ$162,0),"€ |",ROUND(BU168*$AZ$163,0),"€")</f>
        <v>27€ |182€</v>
      </c>
    </row>
    <row r="169" spans="3:74" ht="13.5" customHeight="1">
      <c r="C169" s="3" t="s">
        <v>442</v>
      </c>
      <c r="D169" s="3">
        <v>430</v>
      </c>
      <c r="N169" s="3"/>
      <c r="V169" s="581"/>
      <c r="W169" s="581"/>
      <c r="X169" s="581"/>
      <c r="Y169" s="581"/>
      <c r="Z169" s="581"/>
      <c r="AA169" s="581"/>
      <c r="AB169" s="581"/>
      <c r="AY169" s="602" t="s">
        <v>467</v>
      </c>
      <c r="AZ169" s="597" t="s">
        <v>468</v>
      </c>
      <c r="BA169" s="598">
        <v>3740</v>
      </c>
      <c r="BB169" s="599">
        <v>0.26800000000000002</v>
      </c>
      <c r="BC169" s="600" t="str">
        <f>CONCATENATE(BC166/10,"L;",ROUND((BC$178*$BB169)/1000,1),"t")</f>
        <v>50L;2,8t</v>
      </c>
      <c r="BD169" s="603" t="str">
        <f>CONCATENATE(ROUND((BC$166*$BB169/1000)*$AZ$162,0),"€ | ",ROUND((BC166*$BB169/1000)*$AZ$163,0),"€")</f>
        <v>4€ | 27€</v>
      </c>
      <c r="BE169" s="600" t="str">
        <f>CONCATENATE(BE166/10,"L;",ROUND((BE$178*$BB169)/1000,1),"t")</f>
        <v>140L;2,9t</v>
      </c>
      <c r="BF169" s="603" t="str">
        <f>CONCATENATE(ROUND((BE$166*$BB169/1000)*$AZ$162,0),"€ | ",ROUND((BE166*$BB169/1000)*$AZ$163,0),"€")</f>
        <v>11€ | 75€</v>
      </c>
      <c r="BG169" s="600" t="str">
        <f>CONCATENATE(BG166/10,"L;",ROUND((BG$178*$BB169)/1000,1),"t")</f>
        <v>150L;3,1t</v>
      </c>
      <c r="BH169" s="603" t="str">
        <f>CONCATENATE(ROUND((BG166*$BB169/1000)*$AZ$162,0),"€ | ",ROUND((BG166*$BB169/1000)*$AZ$163,0),"€")</f>
        <v>12€ | 80€</v>
      </c>
      <c r="BI169" s="600" t="str">
        <f>CONCATENATE(BI166/10,"L;",ROUND((BI$178*$BB169)/1000,1),"t")</f>
        <v>200L;3,2t</v>
      </c>
      <c r="BJ169" s="603" t="str">
        <f>CONCATENATE(ROUND((BI166*$BB169/1000)*$AZ$162,0),"€ | ",ROUND((BI166*$BB169/1000)*$AZ$163,0),"€")</f>
        <v>16€ | 107€</v>
      </c>
      <c r="BK169" s="600" t="str">
        <f>CONCATENATE(BK166/10,"L;",ROUND((BK$178*$BB169)/1000,1),"t")</f>
        <v>250L;3,4t</v>
      </c>
      <c r="BL169" s="603" t="str">
        <f>CONCATENATE(ROUND((BK166*$BB169/1000)*$AZ$162,0),"€ | ",ROUND((BK166*$BB169/1000)*$AZ$163,0),"€")</f>
        <v>20€ | 134€</v>
      </c>
      <c r="BM169" s="600" t="str">
        <f>CONCATENATE(BM166/10,"L;",ROUND((BM$178*$BB169)/1000,1),"t")</f>
        <v>300L;3,5t</v>
      </c>
      <c r="BN169" s="603" t="str">
        <f>CONCATENATE(ROUND((BM166*$BB169/1000)*$AZ$162,0),"€ | ",ROUND((BM166*$BB169/1000)*$AZ$163,0),"€")</f>
        <v>24€ | 161€</v>
      </c>
      <c r="BO169" s="600" t="str">
        <f>CONCATENATE(BO166/10,"L;",ROUND((BO$178*$BB169)/1000,1),"t")</f>
        <v>350L;3,6t</v>
      </c>
      <c r="BP169" s="603" t="str">
        <f>CONCATENATE(ROUND((BO166*$BB169/1000)*$AZ$162,0),"€ | ",ROUND((BO166*$BB169/1000)*$AZ$163,0),"€")</f>
        <v>28€ | 188€</v>
      </c>
      <c r="BQ169" s="600" t="str">
        <f>CONCATENATE(BQ166/10,"L;",ROUND((BQ$178*$BB169)/1000,1),"t")</f>
        <v>400L;3,8t</v>
      </c>
      <c r="BR169" s="603" t="str">
        <f>CONCATENATE(ROUND((BQ166*$BB169/1000)*$AZ$162,0),"€ | ",ROUND((BQ166*$BB169/1000)*$AZ$163,0),"€")</f>
        <v>32€ | 214€</v>
      </c>
      <c r="BS169" s="600" t="str">
        <f>CONCATENATE(BS166/10,"L;",ROUND((BS$178*$BB169)/1000,1),"t")</f>
        <v>450L;3,9t</v>
      </c>
      <c r="BT169" s="603" t="str">
        <f>CONCATENATE(ROUND((BS166*$BB169/1000)*$AZ$162,0),"€ | ",ROUND((BS166*$BB169/1000)*$AZ$163,0),"€")</f>
        <v>36€ | 241€</v>
      </c>
      <c r="BU169" s="600" t="str">
        <f>CONCATENATE(BU166/10,"L;",ROUND((BU$178*$BB169)/1000,1),"t")</f>
        <v>500L;4t</v>
      </c>
      <c r="BV169" s="603" t="str">
        <f>CONCATENATE(ROUND((BU166*$BB169/1000)*$AZ$162,0),"€ | ",ROUND((BU166*$BB169/1000)*$AZ$163,0),"€")</f>
        <v>40€ | 268€</v>
      </c>
    </row>
    <row r="170" spans="3:74" ht="13.5" customHeight="1">
      <c r="C170" s="3" t="s">
        <v>469</v>
      </c>
      <c r="D170" s="3">
        <v>470</v>
      </c>
      <c r="J170" s="604" t="s">
        <v>470</v>
      </c>
      <c r="K170" s="604"/>
      <c r="L170" s="604"/>
      <c r="AY170" s="602" t="s">
        <v>471</v>
      </c>
      <c r="AZ170" s="597" t="s">
        <v>472</v>
      </c>
      <c r="BA170" s="598">
        <v>330</v>
      </c>
      <c r="BB170" s="599">
        <f>3.03/14</f>
        <v>0.21642857142857141</v>
      </c>
      <c r="BC170" s="600" t="str">
        <f>CONCATENATE(ROUND(BC166/14,0),"kg;",ROUND((BC166*$BB170)/1000,1),"t")</f>
        <v>36kg;0,1t</v>
      </c>
      <c r="BD170" s="603" t="str">
        <f>CONCATENATE(ROUND((BC$166*$BB170/1000)*$AZ$162,0),"€ | ",ROUND((BC$166*$BB170/1000)*$AZ$163,0),"€")</f>
        <v>3€ | 22€</v>
      </c>
      <c r="BE170" s="600" t="str">
        <f>CONCATENATE(ROUND(BE166/14,0),"kg;",ROUND((BE166*$BB170)/1000,1),"t")</f>
        <v>100kg;0,3t</v>
      </c>
      <c r="BF170" s="603" t="str">
        <f>CONCATENATE(ROUND((BE$166*$BB170/1000)*$AZ$162,0),"€ | ",ROUND((BE$166*$BB170/1000)*$AZ$163,0),"€")</f>
        <v>9€ | 61€</v>
      </c>
      <c r="BG170" s="600" t="str">
        <f>CONCATENATE(ROUND(BG166/14,0),"kg;",ROUND((BG166*$BB170)/1000,1),"t")</f>
        <v>107kg;0,3t</v>
      </c>
      <c r="BH170" s="603" t="str">
        <f>CONCATENATE(ROUND((BG166*$BB170/1000)*$AZ$162,0),"€ | ",ROUND((BG166*$BB170/1000)*$AZ$163,0),"€")</f>
        <v>10€ | 65€</v>
      </c>
      <c r="BI170" s="600" t="str">
        <f>CONCATENATE(ROUND(BI166/14,0),"kg;",ROUND((BI166*$BB170)/1000,1),"t")</f>
        <v>143kg;0,4t</v>
      </c>
      <c r="BJ170" s="603" t="str">
        <f>CONCATENATE(ROUND((BI166*$BB170/1000)*$AZ$162,0),"€ | ",ROUND((BI166*$BB170/1000)*$AZ$163,0),"€")</f>
        <v>13€ | 87€</v>
      </c>
      <c r="BK170" s="600" t="str">
        <f>CONCATENATE(ROUND(BK166/14,0),"kg;",ROUND((BK166*$BB170)/1000,1),"t")</f>
        <v>179kg;0,5t</v>
      </c>
      <c r="BL170" s="603" t="str">
        <f>CONCATENATE(ROUND((BK166*$BB170/1000)*$AZ$162,0),"€ | ",ROUND((BK166*$BB170/1000)*$AZ$163,0),"€")</f>
        <v>16€ | 108€</v>
      </c>
      <c r="BM170" s="600" t="str">
        <f>CONCATENATE(ROUND(BM166/14,0),"kg;",ROUND((BM166*$BB170)/1000,1),"t")</f>
        <v>214kg;0,6t</v>
      </c>
      <c r="BN170" s="603" t="str">
        <f>CONCATENATE(ROUND((BM166*$BB170/1000)*$AZ$162,0),"€ | ",ROUND((BM166*$BB170/1000)*$AZ$163,0),"€")</f>
        <v>19€ | 130€</v>
      </c>
      <c r="BO170" s="600" t="str">
        <f>CONCATENATE(ROUND(BO166/14,0),"kg;",ROUND((BO166*$BB170)/1000,1),"t")</f>
        <v>250kg;0,8t</v>
      </c>
      <c r="BP170" s="603" t="str">
        <f>CONCATENATE(ROUND((BO166*$BB170/1000)*$AZ$162,0),"€ | ",ROUND((BO166*$BB170/1000)*$AZ$163,0),"€")</f>
        <v>23€ | 152€</v>
      </c>
      <c r="BQ170" s="600" t="str">
        <f>CONCATENATE(ROUND(BQ166/14,0),"kg;",ROUND((BQ166*$BB170)/1000,1),"t")</f>
        <v>286kg;0,9t</v>
      </c>
      <c r="BR170" s="603" t="str">
        <f>CONCATENATE(ROUND((BQ166*$BB170/1000)*$AZ$162,0),"€ | ",ROUND((BQ166*$BB170/1000)*$AZ$163,0),"€")</f>
        <v>26€ | 173€</v>
      </c>
      <c r="BS170" s="600" t="str">
        <f>CONCATENATE(ROUND(BS166/14,0),"kg;",ROUND((BS166*$BB170)/1000,1),"t")</f>
        <v>321kg;1t</v>
      </c>
      <c r="BT170" s="603" t="str">
        <f>CONCATENATE(ROUND((BS166*$BB170/1000)*$AZ$162,0),"€ | ",ROUND((BS166*$BB170/1000)*$AZ$163,0),"€")</f>
        <v>29€ | 195€</v>
      </c>
      <c r="BU170" s="600" t="str">
        <f>CONCATENATE(ROUND(BU166/14,0),"kg;",ROUND((BU166*$BB170)/1000,1),"t")</f>
        <v>357kg;1,1t</v>
      </c>
      <c r="BV170" s="603" t="str">
        <f>CONCATENATE(ROUND((BU166*$BB170/1000)*$AZ$162,0),"€ | ",ROUND((BU166*$BB170/1000)*$AZ$163,0),"€")</f>
        <v>32€ | 216€</v>
      </c>
    </row>
    <row r="171" spans="3:74" ht="13.5" customHeight="1">
      <c r="C171" s="3" t="s">
        <v>473</v>
      </c>
      <c r="D171" s="3">
        <v>510</v>
      </c>
      <c r="J171" s="604"/>
      <c r="K171" s="604"/>
      <c r="L171" s="604"/>
      <c r="AY171" s="1"/>
      <c r="AZ171" s="1"/>
      <c r="BA171" s="6"/>
      <c r="BB171" s="605"/>
      <c r="BC171" s="606"/>
      <c r="BD171" s="607"/>
      <c r="BE171" s="606"/>
      <c r="BF171" s="607"/>
      <c r="BG171" s="606"/>
      <c r="BH171" s="607"/>
      <c r="BI171" s="606"/>
      <c r="BJ171" s="607"/>
      <c r="BK171" s="606"/>
      <c r="BL171" s="607"/>
      <c r="BM171" s="606"/>
      <c r="BN171" s="607"/>
      <c r="BO171" s="606"/>
      <c r="BP171" s="607"/>
      <c r="BQ171" s="606"/>
      <c r="BR171" s="607"/>
      <c r="BS171" s="606"/>
      <c r="BT171" s="607"/>
      <c r="BU171" s="606"/>
      <c r="BV171" s="607"/>
    </row>
    <row r="172" spans="3:74" ht="13.5" customHeight="1">
      <c r="C172" s="3" t="s">
        <v>474</v>
      </c>
      <c r="D172" s="3">
        <v>520</v>
      </c>
      <c r="J172" s="604"/>
      <c r="K172" s="604"/>
      <c r="L172" s="604"/>
      <c r="AY172" s="188"/>
      <c r="AZ172" s="188"/>
      <c r="BA172" s="608"/>
      <c r="BB172" s="609"/>
      <c r="BC172" s="610">
        <v>5500</v>
      </c>
      <c r="BD172" s="595" t="s">
        <v>21</v>
      </c>
      <c r="BE172" s="610">
        <v>6000</v>
      </c>
      <c r="BF172" s="595" t="s">
        <v>21</v>
      </c>
      <c r="BG172" s="610">
        <v>6500</v>
      </c>
      <c r="BH172" s="595" t="s">
        <v>21</v>
      </c>
      <c r="BI172" s="610">
        <v>7000</v>
      </c>
      <c r="BJ172" s="595" t="s">
        <v>21</v>
      </c>
      <c r="BK172" s="610">
        <v>7500</v>
      </c>
      <c r="BL172" s="595" t="s">
        <v>21</v>
      </c>
      <c r="BM172" s="610">
        <v>8000</v>
      </c>
      <c r="BN172" s="595" t="s">
        <v>21</v>
      </c>
      <c r="BO172" s="610">
        <v>8500</v>
      </c>
      <c r="BP172" s="595" t="s">
        <v>21</v>
      </c>
      <c r="BQ172" s="610">
        <v>9000</v>
      </c>
      <c r="BR172" s="595" t="s">
        <v>21</v>
      </c>
      <c r="BS172" s="610">
        <v>9500</v>
      </c>
      <c r="BT172" s="595" t="s">
        <v>21</v>
      </c>
      <c r="BU172" s="610">
        <v>10000</v>
      </c>
      <c r="BV172" s="595" t="s">
        <v>21</v>
      </c>
    </row>
    <row r="173" spans="3:74" ht="13.5" customHeight="1">
      <c r="C173" s="3" t="s">
        <v>475</v>
      </c>
      <c r="D173" s="3">
        <v>520</v>
      </c>
      <c r="J173" s="604"/>
      <c r="K173" s="604"/>
      <c r="L173" s="604"/>
      <c r="AY173" s="1"/>
      <c r="AZ173" s="597" t="str">
        <f>$AZ$167</f>
        <v>Strom</v>
      </c>
      <c r="BA173" s="598">
        <v>2494</v>
      </c>
      <c r="BB173" s="611">
        <f>BB167</f>
        <v>0.40100000000000002</v>
      </c>
      <c r="BC173" s="600" t="str">
        <f>CONCATENATE((BC$166*$BB173)/1000," t CO2")</f>
        <v>0,2005 t CO2</v>
      </c>
      <c r="BD173" s="601" t="str">
        <f>CONCATENATE(ROUND(((BC172*$BB173)/1000)*AZ$162,0),"€ |",ROUND(((BC172*$BB173)/1000)*$AZ$163,0),"€")</f>
        <v>66€ |441€</v>
      </c>
      <c r="BE173" s="600">
        <f>(BE$172*$BB173)/1000</f>
        <v>2.4060000000000001</v>
      </c>
      <c r="BF173" s="601" t="str">
        <f>CONCATENATE(ROUND(BE173*$AZ$162,0),"€ |",ROUND(BE173*$AZ$163,0),"€")</f>
        <v>72€ |481€</v>
      </c>
      <c r="BG173" s="600">
        <f>(BG$172*$BB173)/1000</f>
        <v>2.6065</v>
      </c>
      <c r="BH173" s="601" t="str">
        <f>CONCATENATE(ROUND(BG173*$AZ$162,0),"€ |",ROUND(BG173*$AZ$163,0),"€")</f>
        <v>78€ |521€</v>
      </c>
      <c r="BI173" s="600">
        <f>(BI$172*$BB173)/1000</f>
        <v>2.8069999999999999</v>
      </c>
      <c r="BJ173" s="601" t="str">
        <f>CONCATENATE(ROUND(BI173*$AZ$162,0),"€ |",ROUND(BI173*$AZ$163,0),"€")</f>
        <v>84€ |561€</v>
      </c>
      <c r="BK173" s="600">
        <f>(BK$172*$BB173)/1000</f>
        <v>3.0074999999999998</v>
      </c>
      <c r="BL173" s="601" t="str">
        <f>CONCATENATE(ROUND(BK173*$AZ$162,0),"€ |",ROUND(BK173*$AZ$163,0),"€")</f>
        <v>90€ |602€</v>
      </c>
      <c r="BM173" s="600">
        <f>(BM$172*$BB173)/1000</f>
        <v>3.2080000000000002</v>
      </c>
      <c r="BN173" s="601" t="str">
        <f>CONCATENATE(ROUND(BM173*$AZ$162,0),"€ |",ROUND(BM173*$AZ$163,0),"€")</f>
        <v>96€ |642€</v>
      </c>
      <c r="BO173" s="600">
        <f>(BO$172*$BB173)/1000</f>
        <v>3.4085000000000001</v>
      </c>
      <c r="BP173" s="601" t="str">
        <f>CONCATENATE(ROUND(BO173*$AZ$162,0),"€ |",ROUND(BO173*$AZ$163,0),"€")</f>
        <v>102€ |682€</v>
      </c>
      <c r="BQ173" s="600">
        <f>(BQ$172*$BB173)/1000</f>
        <v>3.609</v>
      </c>
      <c r="BR173" s="601" t="str">
        <f>CONCATENATE(ROUND(BQ173*$AZ$162,0),"€ |",ROUND(BQ173*$AZ$163,0),"€")</f>
        <v>108€ |722€</v>
      </c>
      <c r="BS173" s="600">
        <f>(BS$172*$BB173)/1000</f>
        <v>3.8094999999999999</v>
      </c>
      <c r="BT173" s="601" t="str">
        <f>CONCATENATE(ROUND(BS173*$AZ$162,0),"€ |",ROUND(BS173*$AZ$163,0),"€")</f>
        <v>114€ |762€</v>
      </c>
      <c r="BU173" s="600">
        <f>(BU$172*$BB173)/1000</f>
        <v>4.0100000000000007</v>
      </c>
      <c r="BV173" s="601" t="str">
        <f>CONCATENATE(ROUND(BU173*$AZ$162,0),"€ |",ROUND(BU173*$AZ$163,0),"€")</f>
        <v>120€ |802€</v>
      </c>
    </row>
    <row r="174" spans="3:74" ht="13.5" customHeight="1">
      <c r="C174" s="3" t="s">
        <v>476</v>
      </c>
      <c r="D174" s="3">
        <v>550</v>
      </c>
      <c r="J174" s="604"/>
      <c r="K174" s="604"/>
      <c r="L174" s="604"/>
      <c r="AY174" s="1"/>
      <c r="AZ174" s="597" t="str">
        <f>$AZ$168</f>
        <v>Erdgas</v>
      </c>
      <c r="BA174" s="598">
        <v>5497</v>
      </c>
      <c r="BB174" s="611">
        <f>$BB$168</f>
        <v>0.182</v>
      </c>
      <c r="BC174" s="600" t="str">
        <f>CONCATENATE((BC$166*$BB174)/1000," t CO2")</f>
        <v>0,091 t CO2</v>
      </c>
      <c r="BD174" s="601" t="str">
        <f>CONCATENATE(ROUND(((BC172*$BB174)/1000)*AZ$162,0),"€ |",ROUND(((BC172*$BB174)/1000)*$AZ$163,0),"€")</f>
        <v>30€ |200€</v>
      </c>
      <c r="BE174" s="600">
        <f>(BE$172*$BB174)/1000</f>
        <v>1.0920000000000001</v>
      </c>
      <c r="BF174" s="601" t="str">
        <f>CONCATENATE(ROUND(BE174*$AZ$162,0),"€ |",ROUND(BE174*$AZ$163,0),"€")</f>
        <v>33€ |218€</v>
      </c>
      <c r="BG174" s="600">
        <f>(BG$172*$BB174)/1000</f>
        <v>1.1830000000000001</v>
      </c>
      <c r="BH174" s="601" t="str">
        <f>CONCATENATE(ROUND(BG174*$AZ$162,0),"€ |",ROUND(BG174*$AZ$163,0),"€")</f>
        <v>35€ |237€</v>
      </c>
      <c r="BI174" s="600">
        <f>(BI$172*$BB174)/1000</f>
        <v>1.274</v>
      </c>
      <c r="BJ174" s="601" t="str">
        <f>CONCATENATE(ROUND(BI174*$AZ$162,0),"€ |",ROUND(BI174*$AZ$163,0),"€")</f>
        <v>38€ |255€</v>
      </c>
      <c r="BK174" s="600">
        <f>(BK$172*$BB174)/1000</f>
        <v>1.365</v>
      </c>
      <c r="BL174" s="601" t="str">
        <f>CONCATENATE(ROUND(BK174*$AZ$162,0),"€ |",ROUND(BK174*$AZ$163,0),"€")</f>
        <v>41€ |273€</v>
      </c>
      <c r="BM174" s="600">
        <f>(BM$172*$BB174)/1000</f>
        <v>1.456</v>
      </c>
      <c r="BN174" s="601" t="str">
        <f>CONCATENATE(ROUND(BM174*$AZ$162,0),"€ |",ROUND(BM174*$AZ$163,0),"€")</f>
        <v>44€ |291€</v>
      </c>
      <c r="BO174" s="600">
        <f>(BO$172*$BB174)/1000</f>
        <v>1.5469999999999999</v>
      </c>
      <c r="BP174" s="601" t="str">
        <f>CONCATENATE(ROUND(BO174*$AZ$162,0),"€ |",ROUND(BO174*$AZ$163,0),"€")</f>
        <v>46€ |309€</v>
      </c>
      <c r="BQ174" s="600">
        <f>(BQ$172*$BB174)/1000</f>
        <v>1.6379999999999999</v>
      </c>
      <c r="BR174" s="601" t="str">
        <f>CONCATENATE(ROUND(BQ174*$AZ$162,0),"€ |",ROUND(BQ174*$AZ$163,0),"€")</f>
        <v>49€ |328€</v>
      </c>
      <c r="BS174" s="600">
        <f>(BS$172*$BB174)/1000</f>
        <v>1.7290000000000001</v>
      </c>
      <c r="BT174" s="601" t="str">
        <f>CONCATENATE(ROUND(BS174*$AZ$162,0),"€ |",ROUND(BS174*$AZ$163,0),"€")</f>
        <v>52€ |346€</v>
      </c>
      <c r="BU174" s="600">
        <f>(BU$172*$BB174)/1000</f>
        <v>1.82</v>
      </c>
      <c r="BV174" s="601" t="str">
        <f>CONCATENATE(ROUND(BU174*$AZ$162,0),"€ |",ROUND(BU174*$AZ$163,0),"€")</f>
        <v>55€ |364€</v>
      </c>
    </row>
    <row r="175" spans="3:74" ht="13.5" customHeight="1">
      <c r="C175" s="3" t="s">
        <v>477</v>
      </c>
      <c r="D175" s="3">
        <v>550</v>
      </c>
      <c r="J175" s="604"/>
      <c r="K175" s="604"/>
      <c r="L175" s="604"/>
      <c r="AY175" s="1"/>
      <c r="AZ175" s="597" t="str">
        <f>$AZ$169</f>
        <v>Heizöl L / Diesel</v>
      </c>
      <c r="BA175" s="598">
        <v>3740</v>
      </c>
      <c r="BB175" s="611">
        <f>$BB$169</f>
        <v>0.26800000000000002</v>
      </c>
      <c r="BC175" s="600" t="str">
        <f>CONCATENATE(BC172/10,"L;",ROUND((BC$178*$BB175)/1000,1),"t")</f>
        <v>550L;2,8t</v>
      </c>
      <c r="BD175" s="603" t="str">
        <f>CONCATENATE(ROUND((BC172*BB175/1000)*$AZ$162,0),"€ | ",ROUND((BC172*BB175/1000)*$AZ$163,0),"€")</f>
        <v>44€ | 295€</v>
      </c>
      <c r="BE175" s="600" t="str">
        <f>CONCATENATE(BE172/10,"L;",ROUND((BE$178*$BB175)/1000,1),"t")</f>
        <v>600L;2,9t</v>
      </c>
      <c r="BF175" s="603" t="str">
        <f>CONCATENATE(ROUND((BE172*$BB175/1000)*$AZ$162,0),"€ | ",ROUND((BE172*$BB175/1000)*$AZ$163,0),"€")</f>
        <v>48€ | 322€</v>
      </c>
      <c r="BG175" s="600" t="str">
        <f>CONCATENATE(BG172/10,"L;",ROUND((BG$178*$BB175)/1000,1),"t")</f>
        <v>650L;3,1t</v>
      </c>
      <c r="BH175" s="603" t="str">
        <f>CONCATENATE(ROUND((BG172*$BB175/1000)*$AZ$162,0),"€ | ",ROUND((BG172*$BB175/1000)*$AZ$163,0),"€")</f>
        <v>52€ | 348€</v>
      </c>
      <c r="BI175" s="600" t="str">
        <f>CONCATENATE(BI172/10,"L;",ROUND((BI$178*$BB175)/1000,1),"t")</f>
        <v>700L;3,2t</v>
      </c>
      <c r="BJ175" s="603" t="str">
        <f>CONCATENATE(ROUND((BI172*$BB175/1000)*$AZ$162,0),"€ | ",ROUND((BI172*$BB175/1000)*$AZ$163,0),"€")</f>
        <v>56€ | 375€</v>
      </c>
      <c r="BK175" s="600" t="str">
        <f>CONCATENATE(BK172/10,"L;",ROUND((BK$178*$BB175)/1000,1),"t")</f>
        <v>750L;3,4t</v>
      </c>
      <c r="BL175" s="603" t="str">
        <f>CONCATENATE(ROUND((BK172*$BB175/1000)*$AZ$162,0),"€ | ",ROUND((BK172*$BB175/1000)*$AZ$163,0),"€")</f>
        <v>60€ | 402€</v>
      </c>
      <c r="BM175" s="600" t="str">
        <f>CONCATENATE(BM172/10,"L;",ROUND((BM$178*$BB175)/1000,1),"t")</f>
        <v>800L;3,5t</v>
      </c>
      <c r="BN175" s="603" t="str">
        <f>CONCATENATE(ROUND((BM172*$BB175/1000)*$AZ$162,0),"€ | ",ROUND((BM172*$BB175/1000)*$AZ$163,0),"€")</f>
        <v>64€ | 429€</v>
      </c>
      <c r="BO175" s="600" t="str">
        <f>CONCATENATE(BO172/10,"L;",ROUND((BO$178*$BB175)/1000,1),"t")</f>
        <v>850L;3,6t</v>
      </c>
      <c r="BP175" s="603" t="str">
        <f>CONCATENATE(ROUND((BO172*$BB175/1000)*$AZ$162,0),"€ | ",ROUND((BO172*$BB175/1000)*$AZ$163,0),"€")</f>
        <v>68€ | 456€</v>
      </c>
      <c r="BQ175" s="600" t="str">
        <f>CONCATENATE(BQ172/10,"L;",ROUND((BQ$178*$BB175)/1000,1),"t")</f>
        <v>900L;3,8t</v>
      </c>
      <c r="BR175" s="603" t="str">
        <f>CONCATENATE(ROUND((BQ172*$BB175/1000)*$AZ$162,0),"€ | ",ROUND((BQ172*$BB175/1000)*$AZ$163,0),"€")</f>
        <v>72€ | 482€</v>
      </c>
      <c r="BS175" s="600" t="str">
        <f>CONCATENATE(BS172/10,"L;",ROUND((BS$178*$BB175)/1000,1),"t")</f>
        <v>950L;3,9t</v>
      </c>
      <c r="BT175" s="603" t="str">
        <f>CONCATENATE(ROUND((BS172*$BB175/1000)*$AZ$162,0),"€ | ",ROUND((BS172*$BB175/1000)*$AZ$163,0),"€")</f>
        <v>76€ | 509€</v>
      </c>
      <c r="BU175" s="600" t="str">
        <f>CONCATENATE(BU172/10,"L;",ROUND((BU$178*$BB175)/1000,1),"t")</f>
        <v>1000L;4t</v>
      </c>
      <c r="BV175" s="603" t="str">
        <f>CONCATENATE(ROUND((BU172*$BB175/1000)*$AZ$162,0),"€ | ",ROUND((BU172*$BB175/1000)*$AZ$163,0),"€")</f>
        <v>80€ | 536€</v>
      </c>
    </row>
    <row r="176" spans="3:74" ht="13.5" customHeight="1">
      <c r="C176" s="3" t="s">
        <v>478</v>
      </c>
      <c r="D176" s="3">
        <v>590</v>
      </c>
      <c r="J176" s="604"/>
      <c r="K176" s="604"/>
      <c r="L176" s="604"/>
      <c r="AY176" s="1"/>
      <c r="AZ176" s="597" t="str">
        <f>$AZ$170</f>
        <v xml:space="preserve">Flüssiggas </v>
      </c>
      <c r="BA176" s="598">
        <v>330</v>
      </c>
      <c r="BB176" s="611">
        <f>$BB$170</f>
        <v>0.21642857142857141</v>
      </c>
      <c r="BC176" s="600" t="str">
        <f>CONCATENATE(ROUND(BC172/14,0),"kg;",ROUND((BC172*$BB176)/1000,1),"t")</f>
        <v>393kg;1,2t</v>
      </c>
      <c r="BD176" s="603" t="str">
        <f>CONCATENATE(ROUND((BC172*$BB176/1000)*$AZ$162,0),"€ | ",ROUND((BC172*$BB176/1000)*$AZ$163,0),"€")</f>
        <v>36€ | 238€</v>
      </c>
      <c r="BE176" s="600" t="str">
        <f>CONCATENATE(ROUND(BE172/14,0),"kg;",ROUND((BE172*$BB176)/1000,1),"t")</f>
        <v>429kg;1,3t</v>
      </c>
      <c r="BF176" s="603" t="str">
        <f>CONCATENATE(ROUND((BE172*$BB176/1000)*$AZ$162,0),"€ | ",ROUND((BE172*$BB176/1000)*$AZ$163,0),"€")</f>
        <v>39€ | 260€</v>
      </c>
      <c r="BG176" s="600" t="str">
        <f>CONCATENATE(ROUND(BG172/14,0),"kg;",ROUND((BG172*$BB176)/1000,1),"t")</f>
        <v>464kg;1,4t</v>
      </c>
      <c r="BH176" s="603" t="str">
        <f>CONCATENATE(ROUND((BG172*$BB176/1000)*$AZ$162,0),"€ | ",ROUND((BG172*$BB176/1000)*$AZ$163,0),"€")</f>
        <v>42€ | 281€</v>
      </c>
      <c r="BI176" s="600" t="str">
        <f>CONCATENATE(ROUND(BI172/14,0),"kg;",ROUND((BI172*$BB176)/1000,1),"t")</f>
        <v>500kg;1,5t</v>
      </c>
      <c r="BJ176" s="603" t="str">
        <f>CONCATENATE(ROUND((BI172*$BB176/1000)*$AZ$162,0),"€ | ",ROUND((BI172*$BB176/1000)*$AZ$163,0),"€")</f>
        <v>45€ | 303€</v>
      </c>
      <c r="BK176" s="600" t="str">
        <f>CONCATENATE(ROUND(BK172/14,0),"kg;",ROUND((BK172*$BB176)/1000,1),"t")</f>
        <v>536kg;1,6t</v>
      </c>
      <c r="BL176" s="603" t="str">
        <f>CONCATENATE(ROUND((BK172*$BB176/1000)*$AZ$162,0),"€ | ",ROUND((BK172*$BB176/1000)*$AZ$163,0),"€")</f>
        <v>49€ | 325€</v>
      </c>
      <c r="BM176" s="600" t="str">
        <f>CONCATENATE(ROUND(BM172/14,0),"kg;",ROUND((BM172*$BB176)/1000,1),"t")</f>
        <v>571kg;1,7t</v>
      </c>
      <c r="BN176" s="603" t="str">
        <f>CONCATENATE(ROUND((BM172*$BB176/1000)*$AZ$162,0),"€ | ",ROUND((BM172*$BB176/1000)*$AZ$163,0),"€")</f>
        <v>52€ | 346€</v>
      </c>
      <c r="BO176" s="600" t="str">
        <f>CONCATENATE(ROUND(BO172/14,0),"kg;",ROUND((BO172*$BB176)/1000,1),"t")</f>
        <v>607kg;1,8t</v>
      </c>
      <c r="BP176" s="603" t="str">
        <f>CONCATENATE(ROUND((BO172*$BB176/1000)*$AZ$162,0),"€ | ",ROUND((BO172*$BB176/1000)*$AZ$163,0),"€")</f>
        <v>55€ | 368€</v>
      </c>
      <c r="BQ176" s="600" t="str">
        <f>CONCATENATE(ROUND(BQ172/14,0),"kg;",ROUND((BQ172*$BB176)/1000,1),"t")</f>
        <v>643kg;1,9t</v>
      </c>
      <c r="BR176" s="603" t="str">
        <f>CONCATENATE(ROUND((BQ172*$BB176/1000)*$AZ$162,0),"€ | ",ROUND((BQ172*$BB176/1000)*$AZ$163,0),"€")</f>
        <v>58€ | 390€</v>
      </c>
      <c r="BS176" s="600" t="str">
        <f>CONCATENATE(ROUND(BS172/14,0),"kg;",ROUND((BS172*$BB176)/1000,1),"t")</f>
        <v>679kg;2,1t</v>
      </c>
      <c r="BT176" s="603" t="str">
        <f>CONCATENATE(ROUND((BS172*$BB176/1000)*$AZ$162,0),"€ | ",ROUND((BS172*$BB176/1000)*$AZ$163,0),"€")</f>
        <v>62€ | 411€</v>
      </c>
      <c r="BU176" s="600" t="str">
        <f>CONCATENATE(ROUND(BU172/14,0),"kg;",ROUND((BU172*$BB176)/1000,1),"t")</f>
        <v>714kg;2,2t</v>
      </c>
      <c r="BV176" s="603" t="str">
        <f>CONCATENATE(ROUND((BU172*$BB176/1000)*$AZ$162,0),"€ | ",ROUND((BU172*$BB176/1000)*$AZ$163,0),"€")</f>
        <v>65€ | 433€</v>
      </c>
    </row>
    <row r="177" spans="3:74" ht="13.5" customHeight="1">
      <c r="C177" s="3" t="s">
        <v>479</v>
      </c>
      <c r="D177" s="3">
        <v>600</v>
      </c>
      <c r="AY177" s="1"/>
      <c r="AZ177" s="1"/>
      <c r="BA177" s="6"/>
      <c r="BB177" s="605"/>
      <c r="BC177" s="606"/>
      <c r="BD177" s="607"/>
      <c r="BE177" s="606"/>
      <c r="BF177" s="607"/>
      <c r="BG177" s="606"/>
      <c r="BH177" s="607"/>
      <c r="BI177" s="606"/>
      <c r="BJ177" s="607"/>
      <c r="BK177" s="606"/>
      <c r="BL177" s="607"/>
      <c r="BM177" s="600"/>
      <c r="BN177" s="607"/>
      <c r="BO177" s="606"/>
      <c r="BP177" s="607"/>
      <c r="BQ177" s="606"/>
      <c r="BR177" s="607"/>
      <c r="BS177" s="606"/>
      <c r="BT177" s="607"/>
      <c r="BU177" s="606"/>
      <c r="BV177" s="607"/>
    </row>
    <row r="178" spans="3:74" ht="13.5" customHeight="1">
      <c r="C178" s="3" t="s">
        <v>480</v>
      </c>
      <c r="D178" s="3">
        <v>610</v>
      </c>
      <c r="AY178" s="188"/>
      <c r="AZ178" s="188"/>
      <c r="BA178" s="608"/>
      <c r="BB178" s="609"/>
      <c r="BC178" s="610">
        <v>10500</v>
      </c>
      <c r="BD178" s="595" t="s">
        <v>21</v>
      </c>
      <c r="BE178" s="610">
        <v>11000</v>
      </c>
      <c r="BF178" s="595" t="s">
        <v>21</v>
      </c>
      <c r="BG178" s="610">
        <v>11500</v>
      </c>
      <c r="BH178" s="595" t="s">
        <v>21</v>
      </c>
      <c r="BI178" s="610">
        <v>12000</v>
      </c>
      <c r="BJ178" s="595" t="s">
        <v>21</v>
      </c>
      <c r="BK178" s="610">
        <v>12500</v>
      </c>
      <c r="BL178" s="595" t="s">
        <v>21</v>
      </c>
      <c r="BM178" s="610">
        <v>13000</v>
      </c>
      <c r="BN178" s="595" t="s">
        <v>21</v>
      </c>
      <c r="BO178" s="610">
        <v>13500</v>
      </c>
      <c r="BP178" s="595" t="s">
        <v>21</v>
      </c>
      <c r="BQ178" s="610">
        <v>14000</v>
      </c>
      <c r="BR178" s="595" t="s">
        <v>21</v>
      </c>
      <c r="BS178" s="610">
        <v>14500</v>
      </c>
      <c r="BT178" s="595" t="s">
        <v>21</v>
      </c>
      <c r="BU178" s="610">
        <v>15000</v>
      </c>
      <c r="BV178" s="595" t="s">
        <v>21</v>
      </c>
    </row>
    <row r="179" spans="3:74" ht="13.5" customHeight="1">
      <c r="C179" s="3" t="s">
        <v>481</v>
      </c>
      <c r="D179" s="3">
        <v>640</v>
      </c>
      <c r="AY179" s="1"/>
      <c r="AZ179" s="597" t="s">
        <v>210</v>
      </c>
      <c r="BA179" s="598">
        <v>2494</v>
      </c>
      <c r="BB179" s="611">
        <v>0.40100000000000002</v>
      </c>
      <c r="BC179" s="600">
        <f>(BC$178*$BB179)/1000</f>
        <v>4.2104999999999997</v>
      </c>
      <c r="BD179" s="601" t="str">
        <f>CONCATENATE(ROUND(((BC178*$BB179)/1000)*AZ$162,0),"€ |",ROUND(((BC178*$BB179)/1000)*$AZ$163,0),"€")</f>
        <v>126€ |842€</v>
      </c>
      <c r="BE179" s="600">
        <f>(BE$178*$BB179)/1000</f>
        <v>4.4109999999999996</v>
      </c>
      <c r="BF179" s="601" t="str">
        <f>CONCATENATE(ROUND(BE179*$AZ$162,0),"€ |",ROUND(BE179*$AZ$163,0),"€")</f>
        <v>132€ |882€</v>
      </c>
      <c r="BG179" s="600">
        <f>(BG$178*$BB179)/1000</f>
        <v>4.6115000000000004</v>
      </c>
      <c r="BH179" s="601" t="str">
        <f>CONCATENATE(ROUND(BG179*$AZ$162,0),"€ |",ROUND(BG179*$AZ$163,0),"€")</f>
        <v>138€ |922€</v>
      </c>
      <c r="BI179" s="600">
        <f>(BI$178*$BB179)/1000</f>
        <v>4.8120000000000003</v>
      </c>
      <c r="BJ179" s="601" t="str">
        <f>CONCATENATE(ROUND(BI179*$AZ$162,0),"€ |",ROUND(BI179*$AZ$163,0),"€")</f>
        <v>144€ |962€</v>
      </c>
      <c r="BK179" s="600">
        <f>(BK$178*$BB179)/1000</f>
        <v>5.0125000000000002</v>
      </c>
      <c r="BL179" s="601" t="str">
        <f>CONCATENATE(ROUND(BK179*$AZ$162,0),"€ |",ROUND(BK179*$AZ$163,0),"€")</f>
        <v>150€ |1003€</v>
      </c>
      <c r="BM179" s="600">
        <f>(BM$178*$BB179)/1000</f>
        <v>5.2130000000000001</v>
      </c>
      <c r="BN179" s="601" t="str">
        <f>CONCATENATE(ROUND(BM179*$AZ$162,0),"€ |",ROUND(BM179*$AZ$163,0),"€")</f>
        <v>156€ |1043€</v>
      </c>
      <c r="BO179" s="600">
        <f>(BO$178*$BB179)/1000</f>
        <v>5.4135</v>
      </c>
      <c r="BP179" s="601" t="str">
        <f>CONCATENATE(ROUND(BO179*$AZ$162,0),"€ |",ROUND(BO179*$AZ$163,0),"€")</f>
        <v>162€ |1083€</v>
      </c>
      <c r="BQ179" s="600">
        <f>(BQ$178*$BB179)/1000</f>
        <v>5.6139999999999999</v>
      </c>
      <c r="BR179" s="601" t="str">
        <f>CONCATENATE(ROUND(BQ179*$AZ$162,0),"€ |",ROUND(BQ179*$AZ$163,0),"€")</f>
        <v>168€ |1123€</v>
      </c>
      <c r="BS179" s="600">
        <f>(BS$178*$BB179)/1000</f>
        <v>5.8144999999999998</v>
      </c>
      <c r="BT179" s="601" t="str">
        <f>CONCATENATE(ROUND(BS179*$AZ$162,0),"€ |",ROUND(BS179*$AZ$163,0),"€")</f>
        <v>174€ |1163€</v>
      </c>
      <c r="BU179" s="600">
        <f>(BU$178*$BB179)/1000</f>
        <v>6.0149999999999997</v>
      </c>
      <c r="BV179" s="601" t="str">
        <f>CONCATENATE(ROUND(BU179*$AZ$162,0),"€ |",ROUND(BU179*$AZ$163,0),"€")</f>
        <v>180€ |1203€</v>
      </c>
    </row>
    <row r="180" spans="3:74" ht="13.5" customHeight="1">
      <c r="C180" s="3" t="s">
        <v>482</v>
      </c>
      <c r="D180" s="3">
        <v>650</v>
      </c>
      <c r="AY180" s="1"/>
      <c r="AZ180" s="597" t="s">
        <v>321</v>
      </c>
      <c r="BA180" s="598">
        <v>5497</v>
      </c>
      <c r="BB180" s="611">
        <v>0.182</v>
      </c>
      <c r="BC180" s="600">
        <f>(BC$178*$BB180)/1000</f>
        <v>1.911</v>
      </c>
      <c r="BD180" s="601" t="str">
        <f>CONCATENATE(ROUND(((BC178*$BB180)/1000)*AZ$162,0),"€ |",ROUND(((BC178*$BB180)/1000)*$AZ$163,0),"€")</f>
        <v>57€ |382€</v>
      </c>
      <c r="BE180" s="600">
        <f>(BE$178*$BB180)/1000</f>
        <v>2.0019999999999998</v>
      </c>
      <c r="BF180" s="601" t="str">
        <f>CONCATENATE(ROUND(BE180*$AZ$162,0),"€ |",ROUND(BE180*$AZ$163,0),"€")</f>
        <v>60€ |400€</v>
      </c>
      <c r="BG180" s="600">
        <f>(BG$178*$BB180)/1000</f>
        <v>2.093</v>
      </c>
      <c r="BH180" s="601" t="str">
        <f>CONCATENATE(ROUND(BG180*$AZ$162,0),"€ |",ROUND(BG180*$AZ$163,0),"€")</f>
        <v>63€ |419€</v>
      </c>
      <c r="BI180" s="600">
        <f>(BI$178*$BB180)/1000</f>
        <v>2.1840000000000002</v>
      </c>
      <c r="BJ180" s="601" t="str">
        <f>CONCATENATE(ROUND(BI180*$AZ$162,0),"€ |",ROUND(BI180*$AZ$163,0),"€")</f>
        <v>66€ |437€</v>
      </c>
      <c r="BK180" s="600">
        <f>(BK$178*$BB180)/1000</f>
        <v>2.2749999999999999</v>
      </c>
      <c r="BL180" s="601" t="str">
        <f>CONCATENATE(ROUND(BK180*$AZ$162,0),"€ |",ROUND(BK180*$AZ$163,0),"€")</f>
        <v>68€ |455€</v>
      </c>
      <c r="BM180" s="600">
        <f>(BM$178*$BB180)/1000</f>
        <v>2.3660000000000001</v>
      </c>
      <c r="BN180" s="601" t="str">
        <f>CONCATENATE(ROUND(BM180*$AZ$162,0),"€ |",ROUND(BM180*$AZ$163,0),"€")</f>
        <v>71€ |473€</v>
      </c>
      <c r="BO180" s="600">
        <f>(BO$178*$BB180)/1000</f>
        <v>2.4569999999999999</v>
      </c>
      <c r="BP180" s="601" t="str">
        <f>CONCATENATE(ROUND(BO180*$AZ$162,0),"€ |",ROUND(BO180*$AZ$163,0),"€")</f>
        <v>74€ |491€</v>
      </c>
      <c r="BQ180" s="600">
        <f>(BQ$178*$BB180)/1000</f>
        <v>2.548</v>
      </c>
      <c r="BR180" s="601" t="str">
        <f>CONCATENATE(ROUND(BQ180*$AZ$162,0),"€ |",ROUND(BQ180*$AZ$163,0),"€")</f>
        <v>76€ |510€</v>
      </c>
      <c r="BS180" s="600">
        <f>(BS$178*$BB180)/1000</f>
        <v>2.6389999999999998</v>
      </c>
      <c r="BT180" s="601" t="str">
        <f>CONCATENATE(ROUND(BS180*$AZ$162,0),"€ |",ROUND(BS180*$AZ$163,0),"€")</f>
        <v>79€ |528€</v>
      </c>
      <c r="BU180" s="600">
        <f>(BU$178*$BB180)/1000</f>
        <v>2.73</v>
      </c>
      <c r="BV180" s="601" t="str">
        <f>CONCATENATE(ROUND(BU180*$AZ$162,0),"€ |",ROUND(BU180*$AZ$163,0),"€")</f>
        <v>82€ |546€</v>
      </c>
    </row>
    <row r="181" spans="3:74" ht="13.5" customHeight="1">
      <c r="C181" s="3" t="s">
        <v>483</v>
      </c>
      <c r="D181" s="3">
        <v>680</v>
      </c>
      <c r="AY181" s="1"/>
      <c r="AZ181" s="597" t="s">
        <v>468</v>
      </c>
      <c r="BA181" s="598">
        <v>3740</v>
      </c>
      <c r="BB181" s="611">
        <v>0.26800000000000002</v>
      </c>
      <c r="BC181" s="600" t="str">
        <f>CONCATENATE(BC178/10,"L;",ROUND((BC$178*$BB181)/1000,1),"t")</f>
        <v>1050L;2,8t</v>
      </c>
      <c r="BD181" s="603" t="str">
        <f>CONCATENATE(ROUND((BC178*$BB181/1000)*$AZ$162,0),"€ | ",ROUND((BC178*$BB181/1000)*$AZ$163,0),"€")</f>
        <v>84€ | 563€</v>
      </c>
      <c r="BE181" s="600" t="str">
        <f>CONCATENATE(BE178/10,"L;",ROUND((BE$178*$BB181)/1000,1),"t")</f>
        <v>1100L;2,9t</v>
      </c>
      <c r="BF181" s="603" t="str">
        <f>CONCATENATE(ROUND((BE178*$BB181/1000)*$AZ$162,0),"€ | ",ROUND((BE178*$BB181/1000)*$AZ$163,0),"€")</f>
        <v>88€ | 590€</v>
      </c>
      <c r="BG181" s="600" t="str">
        <f>CONCATENATE(BG178/10,"L;",ROUND((BG$178*$BB181)/1000,1),"t")</f>
        <v>1150L;3,1t</v>
      </c>
      <c r="BH181" s="603" t="str">
        <f>CONCATENATE(ROUND((BG178*$BB181/1000)*$AZ$162,0),"€ | ",ROUND((BG178*$BB181/1000)*$AZ$163,0),"€")</f>
        <v>92€ | 616€</v>
      </c>
      <c r="BI181" s="600" t="str">
        <f>CONCATENATE(BI178/10,"L;",ROUND((BI$178*$BB181)/1000,1),"t")</f>
        <v>1200L;3,2t</v>
      </c>
      <c r="BJ181" s="603" t="str">
        <f>CONCATENATE(ROUND((BI178*$BB181/1000)*$AZ$162,0),"€ | ",ROUND((BI178*$BB181/1000)*$AZ$163,0),"€")</f>
        <v>96€ | 643€</v>
      </c>
      <c r="BK181" s="600" t="str">
        <f>CONCATENATE(BK178/10,"L;",ROUND((BK$178*$BB181)/1000,1),"t")</f>
        <v>1250L;3,4t</v>
      </c>
      <c r="BL181" s="603" t="str">
        <f>CONCATENATE(ROUND((BK178*$BB181/1000)*$AZ$162,0),"€ | ",ROUND((BK178*$BB181/1000)*$AZ$163,0),"€")</f>
        <v>101€ | 670€</v>
      </c>
      <c r="BM181" s="600" t="str">
        <f>CONCATENATE(BM178/10,"L;",ROUND((BM$178*$BB181)/1000,1),"t")</f>
        <v>1300L;3,5t</v>
      </c>
      <c r="BN181" s="603" t="str">
        <f>CONCATENATE(ROUND((BM178*$BB181/1000)*$AZ$162,0),"€ | ",ROUND((BM178*$BB181/1000)*$AZ$163,0),"€")</f>
        <v>105€ | 697€</v>
      </c>
      <c r="BO181" s="600" t="str">
        <f>CONCATENATE(BO178/10,"L;",ROUND((BO$178*$BB181)/1000,1),"t")</f>
        <v>1350L;3,6t</v>
      </c>
      <c r="BP181" s="603" t="str">
        <f>CONCATENATE(ROUND((BO178*$BB181/1000)*$AZ$162,0),"€ | ",ROUND((BO178*$BB181/1000)*$AZ$163,0),"€")</f>
        <v>109€ | 724€</v>
      </c>
      <c r="BQ181" s="600" t="str">
        <f>CONCATENATE(BQ178/10,"L;",ROUND((BQ$178*$BB181)/1000,1),"t")</f>
        <v>1400L;3,8t</v>
      </c>
      <c r="BR181" s="603" t="str">
        <f>CONCATENATE(ROUND((BQ178*$BB181/1000)*$AZ$162,0),"€ | ",ROUND((BQ178*$BB181/1000)*$AZ$163,0),"€")</f>
        <v>113€ | 750€</v>
      </c>
      <c r="BS181" s="600" t="str">
        <f>CONCATENATE(BS178/10,"L;",ROUND((BS$178*$BB181)/1000,1),"t")</f>
        <v>1450L;3,9t</v>
      </c>
      <c r="BT181" s="603" t="str">
        <f>CONCATENATE(ROUND((BS178*$BB181/1000)*$AZ$162,0),"€ | ",ROUND((BS178*$BB181/1000)*$AZ$163,0),"€")</f>
        <v>117€ | 777€</v>
      </c>
      <c r="BU181" s="600" t="str">
        <f>CONCATENATE(BU178/10,"L;",ROUND((BU$178*$BB181)/1000,1),"t")</f>
        <v>1500L;4t</v>
      </c>
      <c r="BV181" s="603" t="str">
        <f>CONCATENATE(ROUND((BU178*$BB181/1000)*$AZ$162,0),"€ | ",ROUND((BU178*$BB181/1000)*$AZ$163,0),"€")</f>
        <v>121€ | 804€</v>
      </c>
    </row>
    <row r="182" spans="3:74" ht="13.5" customHeight="1">
      <c r="C182" s="3" t="s">
        <v>484</v>
      </c>
      <c r="D182" s="3">
        <v>690</v>
      </c>
      <c r="AY182" s="1"/>
      <c r="AZ182" s="597" t="s">
        <v>472</v>
      </c>
      <c r="BA182" s="598">
        <v>330</v>
      </c>
      <c r="BB182" s="611">
        <f>3.03/14</f>
        <v>0.21642857142857141</v>
      </c>
      <c r="BC182" s="600" t="str">
        <f>CONCATENATE(ROUND(BC178/14,0),"kg;",ROUND((BC178*$BB182)/1000,1),"t")</f>
        <v>750kg;2,3t</v>
      </c>
      <c r="BD182" s="603" t="str">
        <f>CONCATENATE(ROUND((BC178*$BB182/1000)*$AZ$162,0),"€ | ",ROUND((BC178*$BB182/1000)*$AZ$163,0),"€")</f>
        <v>68€ | 455€</v>
      </c>
      <c r="BE182" s="600" t="str">
        <f>CONCATENATE(ROUND(BE178/14,0),"kg;",ROUND((BE178*$BB182)/1000,1),"t")</f>
        <v>786kg;2,4t</v>
      </c>
      <c r="BF182" s="603" t="str">
        <f>CONCATENATE(ROUND((BE178*$BB182/1000)*$AZ$162,0),"€ | ",ROUND((BE178*$BB182/1000)*$AZ$163,0),"€")</f>
        <v>71€ | 476€</v>
      </c>
      <c r="BG182" s="600" t="str">
        <f>CONCATENATE(ROUND(BG178/14,0),"kg;",ROUND((BG178*$BB182)/1000,1),"t")</f>
        <v>821kg;2,5t</v>
      </c>
      <c r="BH182" s="603" t="str">
        <f>CONCATENATE(ROUND((BG178*$BB182/1000)*$AZ$162,0),"€ | ",ROUND((BG178*$BB182/1000)*$AZ$163,0),"€")</f>
        <v>75€ | 498€</v>
      </c>
      <c r="BI182" s="600" t="str">
        <f>CONCATENATE(ROUND(BI178/14,0),"kg;",ROUND((BI178*$BB182)/1000,1),"t")</f>
        <v>857kg;2,6t</v>
      </c>
      <c r="BJ182" s="603" t="str">
        <f>CONCATENATE(ROUND((BI178*$BB182/1000)*$AZ$162,0),"€ | ",ROUND((BI178*$BB182/1000)*$AZ$163,0),"€")</f>
        <v>78€ | 519€</v>
      </c>
      <c r="BK182" s="600" t="str">
        <f>CONCATENATE(ROUND(BK178/14,0),"kg;",ROUND((BK178*$BB182)/1000,1),"t")</f>
        <v>893kg;2,7t</v>
      </c>
      <c r="BL182" s="603" t="str">
        <f>CONCATENATE(ROUND((BK178*$BB182/1000)*$AZ$162,0),"€ | ",ROUND((BK178*$BB182/1000)*$AZ$163,0),"€")</f>
        <v>81€ | 541€</v>
      </c>
      <c r="BM182" s="600" t="str">
        <f>CONCATENATE(ROUND(BM178/14,0),"kg;",ROUND((BM178*$BB182)/1000,1),"t")</f>
        <v>929kg;2,8t</v>
      </c>
      <c r="BN182" s="603" t="str">
        <f>CONCATENATE(ROUND((BM178*$BB182/1000)*$AZ$162,0),"€ | ",ROUND((BM178*$BB182/1000)*$AZ$163,0),"€")</f>
        <v>84€ | 563€</v>
      </c>
      <c r="BO182" s="600" t="str">
        <f>CONCATENATE(ROUND(BO178/14,0),"kg;",ROUND((BO178*$BB182)/1000,1),"t")</f>
        <v>964kg;2,9t</v>
      </c>
      <c r="BP182" s="603" t="str">
        <f>CONCATENATE(ROUND((BO178*$BB182/1000)*$AZ$162,0),"€ | ",ROUND((BO178*$BB182/1000)*$AZ$163,0),"€")</f>
        <v>88€ | 584€</v>
      </c>
      <c r="BQ182" s="600" t="str">
        <f>CONCATENATE(ROUND(BQ178/14,0),"kg;",ROUND((BQ178*$BB182)/1000,1),"t")</f>
        <v>1000kg;3t</v>
      </c>
      <c r="BR182" s="603" t="str">
        <f>CONCATENATE(ROUND((BQ178*$BB182/1000)*$AZ$162,0),"€ | ",ROUND((BQ178*$BB182/1000)*$AZ$163,0),"€")</f>
        <v>91€ | 606€</v>
      </c>
      <c r="BS182" s="600" t="str">
        <f>CONCATENATE(ROUND(BS178/14,0),"kg;",ROUND((BS178*$BB182)/1000,1),"t")</f>
        <v>1036kg;3,1t</v>
      </c>
      <c r="BT182" s="603" t="str">
        <f>CONCATENATE(ROUND((BS178*$BB182/1000)*$AZ$162,0),"€ | ",ROUND((BS178*$BB182/1000)*$AZ$163,0),"€")</f>
        <v>94€ | 628€</v>
      </c>
      <c r="BU182" s="600" t="str">
        <f>CONCATENATE(ROUND(BU178/14,0),"kg;",ROUND((BU178*$BB182)/1000,1),"t")</f>
        <v>1071kg;3,2t</v>
      </c>
      <c r="BV182" s="603" t="str">
        <f>CONCATENATE(ROUND((BU178*$BB182/1000)*$AZ$162,0),"€ | ",ROUND((BU178*$BB182/1000)*$AZ$163,0),"€")</f>
        <v>97€ | 649€</v>
      </c>
    </row>
    <row r="183" spans="3:74" ht="13.5" customHeight="1">
      <c r="C183" s="3" t="s">
        <v>485</v>
      </c>
      <c r="D183" s="3">
        <v>690</v>
      </c>
      <c r="AY183" s="1"/>
      <c r="AZ183" s="1"/>
      <c r="BA183" s="6"/>
      <c r="BB183" s="605"/>
      <c r="BC183" s="606"/>
      <c r="BD183" s="607"/>
      <c r="BE183" s="606"/>
      <c r="BF183" s="607"/>
      <c r="BG183" s="606"/>
      <c r="BH183" s="607"/>
      <c r="BI183" s="606"/>
      <c r="BJ183" s="607"/>
      <c r="BK183" s="606"/>
      <c r="BL183" s="607"/>
      <c r="BM183" s="606"/>
      <c r="BN183" s="607"/>
      <c r="BO183" s="606"/>
      <c r="BP183" s="607"/>
      <c r="BQ183" s="606"/>
      <c r="BR183" s="607"/>
      <c r="BS183" s="606"/>
      <c r="BT183" s="607"/>
      <c r="BU183" s="606"/>
      <c r="BV183" s="607"/>
    </row>
    <row r="184" spans="3:74" ht="13.5" customHeight="1">
      <c r="C184" s="3" t="s">
        <v>486</v>
      </c>
      <c r="D184" s="3">
        <v>690</v>
      </c>
      <c r="AY184" s="188"/>
      <c r="AZ184" s="188"/>
      <c r="BA184" s="608"/>
      <c r="BB184" s="609"/>
      <c r="BC184" s="610">
        <v>15500</v>
      </c>
      <c r="BD184" s="595" t="s">
        <v>21</v>
      </c>
      <c r="BE184" s="610">
        <v>16000</v>
      </c>
      <c r="BF184" s="595" t="s">
        <v>21</v>
      </c>
      <c r="BG184" s="610">
        <v>16500</v>
      </c>
      <c r="BH184" s="595" t="s">
        <v>21</v>
      </c>
      <c r="BI184" s="610">
        <v>17000</v>
      </c>
      <c r="BJ184" s="595" t="s">
        <v>21</v>
      </c>
      <c r="BK184" s="610">
        <v>17500</v>
      </c>
      <c r="BL184" s="595" t="s">
        <v>21</v>
      </c>
      <c r="BM184" s="610">
        <v>18000</v>
      </c>
      <c r="BN184" s="595" t="s">
        <v>21</v>
      </c>
      <c r="BO184" s="610">
        <v>18500</v>
      </c>
      <c r="BP184" s="595" t="s">
        <v>21</v>
      </c>
      <c r="BQ184" s="610">
        <v>19000</v>
      </c>
      <c r="BR184" s="595" t="s">
        <v>21</v>
      </c>
      <c r="BS184" s="610">
        <v>19500</v>
      </c>
      <c r="BT184" s="595" t="s">
        <v>21</v>
      </c>
      <c r="BU184" s="610">
        <v>20000</v>
      </c>
      <c r="BV184" s="595" t="s">
        <v>21</v>
      </c>
    </row>
    <row r="185" spans="3:74" ht="14.4">
      <c r="C185" s="3" t="s">
        <v>487</v>
      </c>
      <c r="D185" s="3">
        <v>720</v>
      </c>
      <c r="AY185" s="1"/>
      <c r="AZ185" s="597" t="s">
        <v>210</v>
      </c>
      <c r="BA185" s="598">
        <v>2494</v>
      </c>
      <c r="BB185" s="611">
        <v>0.40100000000000002</v>
      </c>
      <c r="BC185" s="600">
        <f>(BC$184*$BB185)/1000</f>
        <v>6.2154999999999996</v>
      </c>
      <c r="BD185" s="601" t="str">
        <f>CONCATENATE(ROUND(((BC184*$BB185)/1000)*AZ$162,0),"€ |",ROUND(((BC184*$BB185)/1000)*$AZ$163,0),"€")</f>
        <v>186€ |1243€</v>
      </c>
      <c r="BE185" s="600">
        <f>(BE$184*$BB185)/1000</f>
        <v>6.4160000000000004</v>
      </c>
      <c r="BF185" s="601" t="str">
        <f>CONCATENATE(ROUND(BE185*$AZ$162,0),"€ |",ROUND(BE185*$AZ$163,0),"€")</f>
        <v>192€ |1283€</v>
      </c>
      <c r="BG185" s="600">
        <f>(BG$184*$BB185)/1000</f>
        <v>6.6165000000000003</v>
      </c>
      <c r="BH185" s="601" t="str">
        <f>CONCATENATE(ROUND(BG185*$AZ$162,0),"€ |",ROUND(BG185*$AZ$163,0),"€")</f>
        <v>198€ |1323€</v>
      </c>
      <c r="BI185" s="600">
        <f>(BI$184*$BB185)/1000</f>
        <v>6.8170000000000002</v>
      </c>
      <c r="BJ185" s="601" t="str">
        <f>CONCATENATE(ROUND(BI185*$AZ$162,0),"€ |",ROUND(BI185*$AZ$163,0),"€")</f>
        <v>205€ |1363€</v>
      </c>
      <c r="BK185" s="600">
        <f>(BK$184*$BB185)/1000</f>
        <v>7.0175000000000001</v>
      </c>
      <c r="BL185" s="601" t="str">
        <f>CONCATENATE(ROUND(BK185*$AZ$162,0),"€ |",ROUND(BK185*$AZ$163,0),"€")</f>
        <v>211€ |1404€</v>
      </c>
      <c r="BM185" s="600">
        <f>(BM$184*$BB185)/1000</f>
        <v>7.218</v>
      </c>
      <c r="BN185" s="601" t="str">
        <f>CONCATENATE(ROUND(BM185*$AZ$162,0),"€ |",ROUND(BM185*$AZ$163,0),"€")</f>
        <v>217€ |1444€</v>
      </c>
      <c r="BO185" s="600">
        <f>(BO$184*$BB185)/1000</f>
        <v>7.4184999999999999</v>
      </c>
      <c r="BP185" s="601" t="str">
        <f>CONCATENATE(ROUND(BO185*$AZ$162,0),"€ |",ROUND(BO185*$AZ$163,0),"€")</f>
        <v>223€ |1484€</v>
      </c>
      <c r="BQ185" s="600">
        <f>(BQ$184*$BB185)/1000</f>
        <v>7.6189999999999998</v>
      </c>
      <c r="BR185" s="601" t="str">
        <f>CONCATENATE(ROUND(BQ185*$AZ$162,0),"€ |",ROUND(BQ185*$AZ$163,0),"€")</f>
        <v>229€ |1524€</v>
      </c>
      <c r="BS185" s="600">
        <f>(BS$184*$BB185)/1000</f>
        <v>7.8194999999999997</v>
      </c>
      <c r="BT185" s="601" t="str">
        <f>CONCATENATE(ROUND(BS185*$AZ$162,0),"€ |",ROUND(BS185*$AZ$163,0),"€")</f>
        <v>235€ |1564€</v>
      </c>
      <c r="BU185" s="600">
        <f>(BU$184*$BB185)/1000</f>
        <v>8.0200000000000014</v>
      </c>
      <c r="BV185" s="601" t="str">
        <f>CONCATENATE(ROUND(BU185*$AZ$162,0),"€ |",ROUND(BU185*$AZ$163,0),"€")</f>
        <v>241€ |1604€</v>
      </c>
    </row>
    <row r="186" spans="3:74" ht="14.4">
      <c r="C186" s="3" t="s">
        <v>488</v>
      </c>
      <c r="D186" s="3">
        <v>750</v>
      </c>
      <c r="AY186" s="1"/>
      <c r="AZ186" s="597" t="s">
        <v>321</v>
      </c>
      <c r="BA186" s="598">
        <v>5497</v>
      </c>
      <c r="BB186" s="611">
        <v>0.182</v>
      </c>
      <c r="BC186" s="600">
        <f>(BC$184*$BB186)/1000</f>
        <v>2.8210000000000002</v>
      </c>
      <c r="BD186" s="601" t="str">
        <f>CONCATENATE(ROUND(((BC184*$BB186)/1000)*AZ$162,0),"€ |",ROUND(((BC184*$BB186)/1000)*$AZ$163,0),"€")</f>
        <v>85€ |564€</v>
      </c>
      <c r="BE186" s="600">
        <f>(BE$184*$BB186)/1000</f>
        <v>2.9119999999999999</v>
      </c>
      <c r="BF186" s="601" t="str">
        <f>CONCATENATE(ROUND(BE186*$AZ$162,0),"€ |",ROUND(BE186*$AZ$163,0),"€")</f>
        <v>87€ |582€</v>
      </c>
      <c r="BG186" s="600">
        <f>(BG$184*$BB186)/1000</f>
        <v>3.0030000000000001</v>
      </c>
      <c r="BH186" s="601" t="str">
        <f>CONCATENATE(ROUND(BG186*$AZ$162,0),"€ |",ROUND(BG186*$AZ$163,0),"€")</f>
        <v>90€ |601€</v>
      </c>
      <c r="BI186" s="600">
        <f>(BI$184*$BB186)/1000</f>
        <v>3.0939999999999999</v>
      </c>
      <c r="BJ186" s="601" t="str">
        <f>CONCATENATE(ROUND(BI186*$AZ$162,0),"€ |",ROUND(BI186*$AZ$163,0),"€")</f>
        <v>93€ |619€</v>
      </c>
      <c r="BK186" s="600">
        <f>(BK$184*$BB186)/1000</f>
        <v>3.1850000000000001</v>
      </c>
      <c r="BL186" s="601" t="str">
        <f>CONCATENATE(ROUND(BK186*$AZ$162,0),"€ |",ROUND(BK186*$AZ$163,0),"€")</f>
        <v>96€ |637€</v>
      </c>
      <c r="BM186" s="600">
        <f>(BM$184*$BB186)/1000</f>
        <v>3.2759999999999998</v>
      </c>
      <c r="BN186" s="601" t="str">
        <f>CONCATENATE(ROUND(BM186*$AZ$162,0),"€ |",ROUND(BM186*$AZ$163,0),"€")</f>
        <v>98€ |655€</v>
      </c>
      <c r="BO186" s="600">
        <f>(BO$184*$BB186)/1000</f>
        <v>3.367</v>
      </c>
      <c r="BP186" s="601" t="str">
        <f>CONCATENATE(ROUND(BO186*$AZ$162,0),"€ |",ROUND(BO186*$AZ$163,0),"€")</f>
        <v>101€ |673€</v>
      </c>
      <c r="BQ186" s="600">
        <f>(BQ$184*$BB186)/1000</f>
        <v>3.4580000000000002</v>
      </c>
      <c r="BR186" s="601" t="str">
        <f>CONCATENATE(ROUND(BQ186*$AZ$162,0),"€ |",ROUND(BQ186*$AZ$163,0),"€")</f>
        <v>104€ |692€</v>
      </c>
      <c r="BS186" s="600">
        <f>(BS$184*$BB186)/1000</f>
        <v>3.5489999999999999</v>
      </c>
      <c r="BT186" s="601" t="str">
        <f>CONCATENATE(ROUND(BS186*$AZ$162,0),"€ |",ROUND(BS186*$AZ$163,0),"€")</f>
        <v>106€ |710€</v>
      </c>
      <c r="BU186" s="600">
        <f>(BU$184*$BB186)/1000</f>
        <v>3.64</v>
      </c>
      <c r="BV186" s="601" t="str">
        <f>CONCATENATE(ROUND(BU186*$AZ$162,0),"€ |",ROUND(BU186*$AZ$163,0),"€")</f>
        <v>109€ |728€</v>
      </c>
    </row>
    <row r="187" spans="3:74" ht="14.4">
      <c r="C187" s="3" t="s">
        <v>489</v>
      </c>
      <c r="D187" s="3">
        <v>750</v>
      </c>
      <c r="AY187" s="1"/>
      <c r="AZ187" s="597" t="s">
        <v>468</v>
      </c>
      <c r="BA187" s="598">
        <v>3740</v>
      </c>
      <c r="BB187" s="611">
        <v>0.26800000000000002</v>
      </c>
      <c r="BC187" s="600" t="str">
        <f>CONCATENATE(BC184/10,"L;",ROUND((BC$178*$BB187)/1000,1),"t")</f>
        <v>1550L;2,8t</v>
      </c>
      <c r="BD187" s="603" t="str">
        <f>CONCATENATE(ROUND((BC184*$BB187/1000)*$AZ$162,0),"€ | ",ROUND((BC184*$BB187/1000)*$AZ$163,0),"€")</f>
        <v>125€ | 831€</v>
      </c>
      <c r="BE187" s="600" t="str">
        <f>CONCATENATE(BE184/10,"L;",ROUND((BE$178*$BB187)/1000,1),"t")</f>
        <v>1600L;2,9t</v>
      </c>
      <c r="BF187" s="603" t="str">
        <f>CONCATENATE(ROUND((BE184*$BB187/1000)*$AZ$162,0),"€ | ",ROUND((BE184*$BB187/1000)*$AZ$163,0),"€")</f>
        <v>129€ | 858€</v>
      </c>
      <c r="BG187" s="600" t="str">
        <f>CONCATENATE(BG184/10,"L;",ROUND((BG$178*$BB187)/1000,1),"t")</f>
        <v>1650L;3,1t</v>
      </c>
      <c r="BH187" s="603" t="str">
        <f>CONCATENATE(ROUND((BG184*$BB187/1000)*$AZ$162,0),"€ | ",ROUND((BG184*$BB187/1000)*$AZ$163,0),"€")</f>
        <v>133€ | 884€</v>
      </c>
      <c r="BI187" s="600" t="str">
        <f>CONCATENATE(BI184/10,"L;",ROUND((BI$178*$BB187)/1000,1),"t")</f>
        <v>1700L;3,2t</v>
      </c>
      <c r="BJ187" s="603" t="str">
        <f>CONCATENATE(ROUND((BI184*$BB187/1000)*$AZ$162,0),"€ | ",ROUND((BI184*$BB187/1000)*$AZ$163,0),"€")</f>
        <v>137€ | 911€</v>
      </c>
      <c r="BK187" s="600" t="str">
        <f>CONCATENATE(BK184/10,"L;",ROUND((BK$178*$BB187)/1000,1),"t")</f>
        <v>1750L;3,4t</v>
      </c>
      <c r="BL187" s="603" t="str">
        <f>CONCATENATE(ROUND((BK184*$BB187/1000)*$AZ$162,0),"€ | ",ROUND((BK184*$BB187/1000)*$AZ$163,0),"€")</f>
        <v>141€ | 938€</v>
      </c>
      <c r="BM187" s="600" t="str">
        <f>CONCATENATE(BM184/10,"L;",ROUND((BM$178*$BB187)/1000,1),"t")</f>
        <v>1800L;3,5t</v>
      </c>
      <c r="BN187" s="603" t="str">
        <f>CONCATENATE(ROUND((BM184*$BB187/1000)*$AZ$162,0),"€ | ",ROUND((BM184*$BB187/1000)*$AZ$163,0),"€")</f>
        <v>145€ | 965€</v>
      </c>
      <c r="BO187" s="600" t="str">
        <f>CONCATENATE(BO184/10,"L;",ROUND((BO$178*$BB187)/1000,1),"t")</f>
        <v>1850L;3,6t</v>
      </c>
      <c r="BP187" s="603" t="str">
        <f>CONCATENATE(ROUND((BO184*$BB187/1000)*$AZ$162,0),"€ | ",ROUND((BO184*$BB187/1000)*$AZ$163,0),"€")</f>
        <v>149€ | 992€</v>
      </c>
      <c r="BQ187" s="600" t="str">
        <f>CONCATENATE(BQ184/10,"L;",ROUND((BQ$178*$BB187)/1000,1),"t")</f>
        <v>1900L;3,8t</v>
      </c>
      <c r="BR187" s="603" t="str">
        <f>CONCATENATE(ROUND((BQ184*$BB187/1000)*$AZ$162,0),"€ | ",ROUND((BQ184*$BB187/1000)*$AZ$163,0),"€")</f>
        <v>153€ | 1018€</v>
      </c>
      <c r="BS187" s="600" t="str">
        <f>CONCATENATE(BS184/10,"L;",ROUND((BS$178*$BB187)/1000,1),"t")</f>
        <v>1950L;3,9t</v>
      </c>
      <c r="BT187" s="603" t="str">
        <f>CONCATENATE(ROUND((BS184*$BB187/1000)*$AZ$162,0),"€ | ",ROUND((BS184*$BB187/1000)*$AZ$163,0),"€")</f>
        <v>157€ | 1045€</v>
      </c>
      <c r="BU187" s="600" t="str">
        <f>CONCATENATE(BU184/10,"L;",ROUND((BU$178*$BB187)/1000,1),"t")</f>
        <v>2000L;4t</v>
      </c>
      <c r="BV187" s="603" t="str">
        <f>CONCATENATE(ROUND((BU184*$BB187/1000)*$AZ$162,0),"€ | ",ROUND((BU184*$BB187/1000)*$AZ$163,0),"€")</f>
        <v>161€ | 1072€</v>
      </c>
    </row>
    <row r="188" spans="3:74" ht="14.4">
      <c r="C188" s="3" t="s">
        <v>490</v>
      </c>
      <c r="D188" s="3">
        <v>770</v>
      </c>
      <c r="AY188" s="1"/>
      <c r="AZ188" s="597" t="s">
        <v>84</v>
      </c>
      <c r="BA188" s="598">
        <v>330</v>
      </c>
      <c r="BB188" s="611">
        <f>3.03/14</f>
        <v>0.21642857142857141</v>
      </c>
      <c r="BC188" s="600" t="str">
        <f>CONCATENATE(ROUND(BC184/14,0),"kg;",ROUND((BC184*$BB188)/1000,1),"t")</f>
        <v>1107kg;3,4t</v>
      </c>
      <c r="BD188" s="603" t="str">
        <f>CONCATENATE(ROUND((BC184*$BB188/1000)*$AZ$162,0),"€ | ",ROUND((BC184*$BB188/1000)*$AZ$163,0),"€")</f>
        <v>101€ | 671€</v>
      </c>
      <c r="BE188" s="600" t="str">
        <f>CONCATENATE(ROUND(BE184/14,0),"kg;",ROUND((BE184*$BB188)/1000,1),"t")</f>
        <v>1143kg;3,5t</v>
      </c>
      <c r="BF188" s="603" t="str">
        <f>CONCATENATE(ROUND((BE184*$BB188/1000)*$AZ$162,0),"€ | ",ROUND((BE184*$BB188/1000)*$AZ$163,0),"€")</f>
        <v>104€ | 693€</v>
      </c>
      <c r="BG188" s="600" t="str">
        <f>CONCATENATE(ROUND(BG184/14,0),"kg;",ROUND((BG$178*$BB188)/1000,1),"t")</f>
        <v>1179kg;2,5t</v>
      </c>
      <c r="BH188" s="603" t="str">
        <f>CONCATENATE(ROUND((BG184*$BB188/1000)*$AZ$162,0),"€ | ",ROUND((BG184*$BB188/1000)*$AZ$163,0),"€")</f>
        <v>107€ | 714€</v>
      </c>
      <c r="BI188" s="600" t="str">
        <f>CONCATENATE(ROUND(BI184/14,0),"kg;",ROUND((BI184*$BB188)/1000,1),"t")</f>
        <v>1214kg;3,7t</v>
      </c>
      <c r="BJ188" s="603" t="str">
        <f>CONCATENATE(ROUND((BI184*$BB188/1000)*$AZ$162,0),"€ | ",ROUND((BI184*$BB188/1000)*$AZ$163,0),"€")</f>
        <v>110€ | 736€</v>
      </c>
      <c r="BK188" s="600" t="str">
        <f>CONCATENATE(ROUND(BK184/14,0),"kg;",ROUND((BK184*$BB188)/1000,1),"t")</f>
        <v>1250kg;3,8t</v>
      </c>
      <c r="BL188" s="603" t="str">
        <f>CONCATENATE(ROUND((BK184*$BB188/1000)*$AZ$162,0),"€ | ",ROUND((BK184*$BB188/1000)*$AZ$163,0),"€")</f>
        <v>114€ | 758€</v>
      </c>
      <c r="BM188" s="600" t="str">
        <f>CONCATENATE(ROUND(BM184/14,0),"kg;",ROUND((BM184*$BB188)/1000,1),"t")</f>
        <v>1286kg;3,9t</v>
      </c>
      <c r="BN188" s="603" t="str">
        <f>CONCATENATE(ROUND((BM184*$BB188/1000)*$AZ$162,0),"€ | ",ROUND((BM184*$BB188/1000)*$AZ$163,0),"€")</f>
        <v>117€ | 779€</v>
      </c>
      <c r="BO188" s="600" t="str">
        <f>CONCATENATE(ROUND(BO184/14,0),"kg;",ROUND((BO184*$BB188)/1000,1),"t")</f>
        <v>1321kg;4t</v>
      </c>
      <c r="BP188" s="603" t="str">
        <f>CONCATENATE(ROUND((BO184*$BB188/1000)*$AZ$162,0),"€ | ",ROUND((BO184*$BB188/1000)*$AZ$163,0),"€")</f>
        <v>120€ | 801€</v>
      </c>
      <c r="BQ188" s="600" t="str">
        <f>CONCATENATE(ROUND(BQ184/14,0),"kg;",ROUND((BQ184*$BB188)/1000,1),"t")</f>
        <v>1357kg;4,1t</v>
      </c>
      <c r="BR188" s="603" t="str">
        <f>CONCATENATE(ROUND((BQ184*$BB188/1000)*$AZ$162,0),"€ | ",ROUND((BQ184*$BB188/1000)*$AZ$163,0),"€")</f>
        <v>123€ | 822€</v>
      </c>
      <c r="BS188" s="600" t="str">
        <f>CONCATENATE(ROUND(BS184/14,0),"kg;",ROUND((BS184*$BB188)/1000,1),"t")</f>
        <v>1393kg;4,2t</v>
      </c>
      <c r="BT188" s="603" t="str">
        <f>CONCATENATE(ROUND((BS184*$BB188/1000)*$AZ$162,0),"€ | ",ROUND((BS184*$BB188/1000)*$AZ$163,0),"€")</f>
        <v>127€ | 844€</v>
      </c>
      <c r="BU188" s="600" t="str">
        <f>CONCATENATE(ROUND(BU184/14,0),"kg;",ROUND((BU184*$BB188)/1000,1),"t")</f>
        <v>1429kg;4,3t</v>
      </c>
      <c r="BV188" s="603" t="str">
        <f>CONCATENATE(ROUND((BU184*$BB188/1000)*$AZ$162,0),"€ | ",ROUND((BU184*$BB188/1000)*$AZ$163,0),"€")</f>
        <v>130€ | 866€</v>
      </c>
    </row>
    <row r="189" spans="3:74" ht="14.4">
      <c r="C189" s="3" t="s">
        <v>491</v>
      </c>
      <c r="D189" s="3">
        <v>1150</v>
      </c>
      <c r="AY189" s="1"/>
      <c r="AZ189" s="1"/>
      <c r="BA189" s="6"/>
      <c r="BB189" s="605"/>
      <c r="BC189" s="606"/>
      <c r="BD189" s="607"/>
      <c r="BE189" s="606"/>
      <c r="BF189" s="607"/>
      <c r="BG189" s="606"/>
      <c r="BH189" s="607"/>
      <c r="BI189" s="606"/>
      <c r="BJ189" s="607"/>
      <c r="BK189" s="606"/>
      <c r="BL189" s="607"/>
      <c r="BM189" s="606"/>
      <c r="BN189" s="607"/>
      <c r="BO189" s="606"/>
      <c r="BP189" s="607"/>
      <c r="BQ189" s="606"/>
      <c r="BR189" s="607"/>
      <c r="BS189" s="606"/>
      <c r="BT189" s="607"/>
      <c r="BU189" s="606"/>
      <c r="BV189" s="607"/>
    </row>
    <row r="190" spans="3:74">
      <c r="C190" s="3" t="s">
        <v>492</v>
      </c>
      <c r="D190" s="3">
        <v>1200</v>
      </c>
      <c r="AY190" s="1"/>
      <c r="AZ190" s="1"/>
      <c r="BA190" s="6"/>
      <c r="BB190" s="605"/>
      <c r="BC190" s="610">
        <v>20500</v>
      </c>
      <c r="BD190" s="595" t="s">
        <v>21</v>
      </c>
      <c r="BE190" s="610">
        <v>21000</v>
      </c>
      <c r="BF190" s="595" t="s">
        <v>21</v>
      </c>
      <c r="BG190" s="610">
        <v>21500</v>
      </c>
      <c r="BH190" s="595" t="s">
        <v>21</v>
      </c>
      <c r="BI190" s="610">
        <v>22000</v>
      </c>
      <c r="BJ190" s="595" t="s">
        <v>21</v>
      </c>
      <c r="BK190" s="610">
        <v>22500</v>
      </c>
      <c r="BL190" s="595" t="s">
        <v>21</v>
      </c>
      <c r="BM190" s="610">
        <v>23000</v>
      </c>
      <c r="BN190" s="595" t="s">
        <v>21</v>
      </c>
      <c r="BO190" s="610">
        <v>23500</v>
      </c>
      <c r="BP190" s="595" t="s">
        <v>21</v>
      </c>
      <c r="BQ190" s="610">
        <v>24000</v>
      </c>
      <c r="BR190" s="595" t="s">
        <v>21</v>
      </c>
      <c r="BS190" s="610">
        <v>24500</v>
      </c>
      <c r="BT190" s="595" t="s">
        <v>21</v>
      </c>
      <c r="BU190" s="610">
        <v>25000</v>
      </c>
      <c r="BV190" s="595" t="s">
        <v>21</v>
      </c>
    </row>
    <row r="191" spans="3:74" ht="14.4">
      <c r="C191" s="3" t="s">
        <v>493</v>
      </c>
      <c r="D191" s="3">
        <v>1230</v>
      </c>
      <c r="E191" s="3" t="s">
        <v>494</v>
      </c>
      <c r="AY191" s="1"/>
      <c r="AZ191" s="597" t="s">
        <v>210</v>
      </c>
      <c r="BA191" s="598">
        <v>2494</v>
      </c>
      <c r="BB191" s="611">
        <v>0.40100000000000002</v>
      </c>
      <c r="BC191" s="600">
        <f>(BC$190*$BB191)/1000</f>
        <v>8.2204999999999995</v>
      </c>
      <c r="BD191" s="601" t="str">
        <f>CONCATENATE(ROUND(BC191*$AZ$162,0),"€ |",ROUND(BC191*$AZ$163,0),"€")</f>
        <v>247€ |1644€</v>
      </c>
      <c r="BE191" s="600">
        <f>(BE$190*$BB191)/1000</f>
        <v>8.4209999999999994</v>
      </c>
      <c r="BF191" s="601" t="str">
        <f>CONCATENATE(ROUND(BE191*$AZ$162,0),"€ |",ROUND(BE191*$AZ$163,0),"€")</f>
        <v>253€ |1684€</v>
      </c>
      <c r="BG191" s="600">
        <f>(BG$190*$BB191)/1000</f>
        <v>8.6214999999999993</v>
      </c>
      <c r="BH191" s="601" t="str">
        <f>CONCATENATE(ROUND(BG191*$AZ$162,0),"€ |",ROUND(BG191*$AZ$163,0),"€")</f>
        <v>259€ |1724€</v>
      </c>
      <c r="BI191" s="600">
        <f>(BI$190*$BB191)/1000</f>
        <v>8.8219999999999992</v>
      </c>
      <c r="BJ191" s="601" t="str">
        <f>CONCATENATE(ROUND(BI191*$AZ$162,0),"€ |",ROUND(BI191*$AZ$163,0),"€")</f>
        <v>265€ |1764€</v>
      </c>
      <c r="BK191" s="600">
        <f>(BK$190*$BB191)/1000</f>
        <v>9.0225000000000009</v>
      </c>
      <c r="BL191" s="601" t="str">
        <f>CONCATENATE(ROUND(BK191*$AZ$162,0),"€ |",ROUND(BK191*$AZ$163,0),"€")</f>
        <v>271€ |1805€</v>
      </c>
      <c r="BM191" s="600">
        <f>(BM$190*$BB191)/1000</f>
        <v>9.2230000000000008</v>
      </c>
      <c r="BN191" s="601" t="str">
        <f>CONCATENATE(ROUND(BM191*$AZ$162,0),"€ |",ROUND(BM191*$AZ$163,0),"€")</f>
        <v>277€ |1845€</v>
      </c>
      <c r="BO191" s="600">
        <f>(BO$190*$BB191)/1000</f>
        <v>9.4235000000000007</v>
      </c>
      <c r="BP191" s="601" t="str">
        <f>CONCATENATE(ROUND(BO191*$AZ$162,0),"€ |",ROUND(BO191*$AZ$163,0),"€")</f>
        <v>283€ |1885€</v>
      </c>
      <c r="BQ191" s="600">
        <f>(BQ$190*$BB191)/1000</f>
        <v>9.6240000000000006</v>
      </c>
      <c r="BR191" s="601" t="str">
        <f>CONCATENATE(ROUND(BQ191*$AZ$162,0),"€ |",ROUND(BQ191*$AZ$163,0),"€")</f>
        <v>289€ |1925€</v>
      </c>
      <c r="BS191" s="600">
        <f>(BS$190*$BB191)/1000</f>
        <v>9.8245000000000005</v>
      </c>
      <c r="BT191" s="601" t="str">
        <f>CONCATENATE(ROUND(BS191*$AZ$162,0),"€ |",ROUND(BS191*$AZ$163,0),"€")</f>
        <v>295€ |1965€</v>
      </c>
      <c r="BU191" s="600">
        <f>(BU$190*$BB191)/1000</f>
        <v>10.025</v>
      </c>
      <c r="BV191" s="601" t="str">
        <f>CONCATENATE(ROUND(BU191*$AZ$162,0),"€ |",ROUND(BU191*$AZ$163,0),"€")</f>
        <v>301€ |2005€</v>
      </c>
    </row>
    <row r="192" spans="3:74" ht="14.4">
      <c r="C192" s="3" t="s">
        <v>495</v>
      </c>
      <c r="AY192" s="1"/>
      <c r="AZ192" s="597" t="s">
        <v>321</v>
      </c>
      <c r="BA192" s="598">
        <v>5497</v>
      </c>
      <c r="BB192" s="611">
        <v>0.182</v>
      </c>
      <c r="BC192" s="600">
        <f>(BC$190*$BB192)/1000</f>
        <v>3.7309999999999999</v>
      </c>
      <c r="BD192" s="601" t="str">
        <f>CONCATENATE(ROUND(BC192*$AZ$162,0),"€ |",ROUND(BC192*$AZ$163,0),"€")</f>
        <v>112€ |746€</v>
      </c>
      <c r="BE192" s="600">
        <f>(BE$190*$BB192)/1000</f>
        <v>3.8220000000000001</v>
      </c>
      <c r="BF192" s="601" t="str">
        <f>CONCATENATE(ROUND(BE192*$AZ$162,0),"€ |",ROUND(BE192*$AZ$163,0),"€")</f>
        <v>115€ |764€</v>
      </c>
      <c r="BG192" s="600">
        <f>(BG$190*$BB192)/1000</f>
        <v>3.9129999999999998</v>
      </c>
      <c r="BH192" s="601" t="str">
        <f>CONCATENATE(ROUND(BG192*$AZ$162,0),"€ |",ROUND(BG192*$AZ$163,0),"€")</f>
        <v>117€ |783€</v>
      </c>
      <c r="BI192" s="600">
        <f>(BI$190*$BB192)/1000</f>
        <v>4.0039999999999996</v>
      </c>
      <c r="BJ192" s="601" t="str">
        <f>CONCATENATE(ROUND(BI192*$AZ$162,0),"€ |",ROUND(BI192*$AZ$163,0),"€")</f>
        <v>120€ |801€</v>
      </c>
      <c r="BK192" s="600">
        <f>(BK$190*$BB192)/1000</f>
        <v>4.0949999999999998</v>
      </c>
      <c r="BL192" s="601" t="str">
        <f>CONCATENATE(ROUND(BK192*$AZ$162,0),"€ |",ROUND(BK192*$AZ$163,0),"€")</f>
        <v>123€ |819€</v>
      </c>
      <c r="BM192" s="600">
        <f>(BM$190*$BB192)/1000</f>
        <v>4.1859999999999999</v>
      </c>
      <c r="BN192" s="601" t="str">
        <f>CONCATENATE(ROUND(BM192*$AZ$162,0),"€ |",ROUND(BM192*$AZ$163,0),"€")</f>
        <v>126€ |837€</v>
      </c>
      <c r="BO192" s="600">
        <f>(BO$190*$BB192)/1000</f>
        <v>4.2770000000000001</v>
      </c>
      <c r="BP192" s="601" t="str">
        <f>CONCATENATE(ROUND(BO192*$AZ$162,0),"€ |",ROUND(BO192*$AZ$163,0),"€")</f>
        <v>128€ |855€</v>
      </c>
      <c r="BQ192" s="600">
        <f>(BQ$190*$BB192)/1000</f>
        <v>4.3680000000000003</v>
      </c>
      <c r="BR192" s="601" t="str">
        <f>CONCATENATE(ROUND(BQ192*$AZ$162,0),"€ |",ROUND(BQ192*$AZ$163,0),"€")</f>
        <v>131€ |874€</v>
      </c>
      <c r="BS192" s="600">
        <f>(BS$190*$BB192)/1000</f>
        <v>4.4589999999999996</v>
      </c>
      <c r="BT192" s="601" t="str">
        <f>CONCATENATE(ROUND(BS192*$AZ$162,0),"€ |",ROUND(BS192*$AZ$163,0),"€")</f>
        <v>134€ |892€</v>
      </c>
      <c r="BU192" s="600">
        <f>(BU$190*$BB192)/1000</f>
        <v>4.55</v>
      </c>
      <c r="BV192" s="601" t="str">
        <f>CONCATENATE(ROUND(BU192*$AZ$162,0),"€ |",ROUND(BU192*$AZ$163,0),"€")</f>
        <v>137€ |910€</v>
      </c>
    </row>
    <row r="193" spans="51:74" ht="14.4">
      <c r="AY193" s="1"/>
      <c r="AZ193" s="597" t="s">
        <v>468</v>
      </c>
      <c r="BA193" s="598">
        <v>3740</v>
      </c>
      <c r="BB193" s="611">
        <v>0.26800000000000002</v>
      </c>
      <c r="BC193" s="600" t="str">
        <f>CONCATENATE(BC190/10,"L;",ROUND((BC$178*$BB193)/1000,1),"t")</f>
        <v>2050L;2,8t</v>
      </c>
      <c r="BD193" s="603" t="str">
        <f>CONCATENATE(ROUND((BC190*$BB193/1000)*$AZ$162,0),"€ | ",ROUND((BC190*$BB193/1000)*$AZ$163,0),"€")</f>
        <v>165€ | 1099€</v>
      </c>
      <c r="BE193" s="600" t="str">
        <f>CONCATENATE(BE190/10,"L;",ROUND((BE$178*$BB193)/1000,1),"t")</f>
        <v>2100L;2,9t</v>
      </c>
      <c r="BF193" s="603" t="str">
        <f>CONCATENATE(ROUND((BE190*$BB193/1000)*$AZ$162,0),"€ | ",ROUND((BE190*$BB193/1000)*$AZ$163,0),"€")</f>
        <v>169€ | 1126€</v>
      </c>
      <c r="BG193" s="600" t="str">
        <f>CONCATENATE(BG190/10,"L;",ROUND((BG$178*$BB193)/1000,1),"t")</f>
        <v>2150L;3,1t</v>
      </c>
      <c r="BH193" s="603" t="str">
        <f>CONCATENATE(ROUND((BG190*$BB193/1000)*$AZ$162,0),"€ | ",ROUND((BG190*$BB193/1000)*$AZ$163,0),"€")</f>
        <v>173€ | 1152€</v>
      </c>
      <c r="BI193" s="600" t="str">
        <f>CONCATENATE(BI190/10,"L;",ROUND((BI$178*$BB193)/1000,1),"t")</f>
        <v>2200L;3,2t</v>
      </c>
      <c r="BJ193" s="603" t="str">
        <f>CONCATENATE(ROUND((BI190*$BB193/1000)*$AZ$162,0),"€ | ",ROUND((BI190*$BB193/1000)*$AZ$163,0),"€")</f>
        <v>177€ | 1179€</v>
      </c>
      <c r="BK193" s="600" t="str">
        <f>CONCATENATE(BK190/10,"L;",ROUND((BK$178*$BB193)/1000,1),"t")</f>
        <v>2250L;3,4t</v>
      </c>
      <c r="BL193" s="603" t="str">
        <f>CONCATENATE(ROUND((BK190*$BB193/1000)*$AZ$162,0),"€ | ",ROUND((BK190*$BB193/1000)*$AZ$163,0),"€")</f>
        <v>181€ | 1206€</v>
      </c>
      <c r="BM193" s="600" t="str">
        <f>CONCATENATE(BM190/10,"L;",ROUND((BM$178*$BB193)/1000,1),"t")</f>
        <v>2300L;3,5t</v>
      </c>
      <c r="BN193" s="603" t="str">
        <f>CONCATENATE(ROUND((BM190*$BB193/1000)*$AZ$162,0),"€ | ",ROUND((BM190*$BB193/1000)*$AZ$163,0),"€")</f>
        <v>185€ | 1233€</v>
      </c>
      <c r="BO193" s="600" t="str">
        <f>CONCATENATE(BO190/10,"L;",ROUND((BO$178*$BB193)/1000,1),"t")</f>
        <v>2350L;3,6t</v>
      </c>
      <c r="BP193" s="603" t="str">
        <f>CONCATENATE(ROUND((BO190*$BB193/1000)*$AZ$162,0),"€ | ",ROUND((BO190*$BB193/1000)*$AZ$163,0),"€")</f>
        <v>189€ | 1260€</v>
      </c>
      <c r="BQ193" s="600" t="str">
        <f>CONCATENATE(BQ190/10,"L;",ROUND((BQ$178*$BB193)/1000,1),"t")</f>
        <v>2400L;3,8t</v>
      </c>
      <c r="BR193" s="603" t="str">
        <f>CONCATENATE(ROUND((BQ190*$BB193/1000)*$AZ$162,0),"€ | ",ROUND((BQ190*$BB193/1000)*$AZ$163,0),"€")</f>
        <v>193€ | 1286€</v>
      </c>
      <c r="BS193" s="600" t="str">
        <f>CONCATENATE(BS190/10,"L;",ROUND((BS$178*$BB193)/1000,1),"t")</f>
        <v>2450L;3,9t</v>
      </c>
      <c r="BT193" s="603" t="str">
        <f>CONCATENATE(ROUND((BS190*$BB193/1000)*$AZ$162,0),"€ | ",ROUND((BS190*$BB193/1000)*$AZ$163,0),"€")</f>
        <v>197€ | 1313€</v>
      </c>
      <c r="BU193" s="600" t="str">
        <f>CONCATENATE(BU190/10,"L;",ROUND((BU$178*$BB193)/1000,1),"t")</f>
        <v>2500L;4t</v>
      </c>
      <c r="BV193" s="603" t="str">
        <f>CONCATENATE(ROUND((BU190*$BB193/1000)*$AZ$162,0),"€ | ",ROUND((BU190*$BB193/1000)*$AZ$163,0),"€")</f>
        <v>201€ | 1340€</v>
      </c>
    </row>
    <row r="194" spans="51:74" ht="14.4">
      <c r="AY194" s="1"/>
      <c r="AZ194" s="597" t="s">
        <v>84</v>
      </c>
      <c r="BA194" s="598">
        <v>330</v>
      </c>
      <c r="BB194" s="611">
        <f>3.03/14</f>
        <v>0.21642857142857141</v>
      </c>
      <c r="BC194" s="600" t="str">
        <f>CONCATENATE(ROUND(BC190/14,0),"kg;",ROUND((BC190*$BB194)/1000,1),"t")</f>
        <v>1464kg;4,4t</v>
      </c>
      <c r="BD194" s="603" t="str">
        <f>CONCATENATE(ROUND((BC190*$BB194/1000)*$AZ$162,0),"€ | ",ROUND((BC190*$BB194/1000)*$AZ$163,0),"€")</f>
        <v>133€ | 887€</v>
      </c>
      <c r="BE194" s="600" t="str">
        <f>CONCATENATE(ROUND(BE190/14,0),"kg;",ROUND((BE190*$BB194)/1000,1),"t")</f>
        <v>1500kg;4,5t</v>
      </c>
      <c r="BF194" s="603" t="str">
        <f>CONCATENATE(ROUND((BE190*$BB194/1000)*$AZ$162,0),"€ | ",ROUND((BE190*$BB194/1000)*$AZ$163,0),"€")</f>
        <v>136€ | 909€</v>
      </c>
      <c r="BG194" s="600" t="str">
        <f>CONCATENATE(ROUND(BG190/14,0),"kg;",ROUND((BG190*$BB194)/1000,1),"t")</f>
        <v>1536kg;4,7t</v>
      </c>
      <c r="BH194" s="603" t="str">
        <f>CONCATENATE(ROUND((BG190*$BB194/1000)*$AZ$162,0),"€ | ",ROUND((BG190*$BB194/1000)*$AZ$163,0),"€")</f>
        <v>140€ | 931€</v>
      </c>
      <c r="BI194" s="600" t="str">
        <f>CONCATENATE(ROUND(BI190/14,0),"kg;",ROUND((BI190*$BB194)/1000,1),"t")</f>
        <v>1571kg;4,8t</v>
      </c>
      <c r="BJ194" s="603" t="str">
        <f>CONCATENATE(ROUND((BI190*$BB194/1000)*$AZ$162,0),"€ | ",ROUND((BI190*$BB194/1000)*$AZ$163,0),"€")</f>
        <v>143€ | 952€</v>
      </c>
      <c r="BK194" s="600" t="str">
        <f>CONCATENATE(ROUND(BK190/14,0),"kg;",ROUND((BK190*$BB194)/1000,1),"t")</f>
        <v>1607kg;4,9t</v>
      </c>
      <c r="BL194" s="603" t="str">
        <f>CONCATENATE(ROUND((BK190*$BB194/1000)*$AZ$162,0),"€ | ",ROUND((BK190*$BB194/1000)*$AZ$163,0),"€")</f>
        <v>146€ | 974€</v>
      </c>
      <c r="BM194" s="600" t="str">
        <f>CONCATENATE(ROUND(BM190/14,0),"kg;",ROUND((BM190*$BB194)/1000,1),"t")</f>
        <v>1643kg;5t</v>
      </c>
      <c r="BN194" s="603" t="str">
        <f>CONCATENATE(ROUND((BM190*$BB194/1000)*$AZ$162,0),"€ | ",ROUND((BM190*$BB194/1000)*$AZ$163,0),"€")</f>
        <v>149€ | 996€</v>
      </c>
      <c r="BO194" s="600" t="str">
        <f>CONCATENATE(ROUND(BO190/14,0),"kg;",ROUND((BO190*$BB194)/1000,1),"t")</f>
        <v>1679kg;5,1t</v>
      </c>
      <c r="BP194" s="603" t="str">
        <f>CONCATENATE(ROUND((BO190*$BB194/1000)*$AZ$162,0),"€ | ",ROUND((BO190*$BB194/1000)*$AZ$163,0),"€")</f>
        <v>153€ | 1017€</v>
      </c>
      <c r="BQ194" s="600" t="str">
        <f>CONCATENATE(ROUND(BQ190/14,0),"kg;",ROUND((BQ190*$BB194)/1000,1),"t")</f>
        <v>1714kg;5,2t</v>
      </c>
      <c r="BR194" s="603" t="str">
        <f>CONCATENATE(ROUND((BQ190*$BB194/1000)*$AZ$162,0),"€ | ",ROUND((BQ190*$BB194/1000)*$AZ$163,0),"€")</f>
        <v>156€ | 1039€</v>
      </c>
      <c r="BS194" s="600" t="str">
        <f>CONCATENATE(ROUND(BS190/14,0),"kg;",ROUND((BS190*$BB194)/1000,1),"t")</f>
        <v>1750kg;5,3t</v>
      </c>
      <c r="BT194" s="603" t="str">
        <f>CONCATENATE(ROUND((BS190*$BB194/1000)*$AZ$162,0),"€ | ",ROUND((BS190*$BB194/1000)*$AZ$163,0),"€")</f>
        <v>159€ | 1061€</v>
      </c>
      <c r="BU194" s="600" t="str">
        <f>CONCATENATE(ROUND(BU190/14,0),"kg;",ROUND((BU190*$BB194)/1000,1),"t")</f>
        <v>1786kg;5,4t</v>
      </c>
      <c r="BV194" s="603" t="str">
        <f>CONCATENATE(ROUND((BU190*$BB194/1000)*$AZ$162,0),"€ | ",ROUND((BU190*$BB194/1000)*$AZ$163,0),"€")</f>
        <v>162€ | 1082€</v>
      </c>
    </row>
    <row r="195" spans="51:74" ht="14.4">
      <c r="AY195" s="1"/>
      <c r="AZ195" s="1"/>
      <c r="BA195" s="6"/>
      <c r="BB195" s="605"/>
      <c r="BC195" s="606"/>
      <c r="BD195" s="607"/>
      <c r="BE195" s="606"/>
      <c r="BF195" s="607"/>
      <c r="BG195" s="606"/>
      <c r="BH195" s="607"/>
      <c r="BI195" s="606"/>
      <c r="BJ195" s="607"/>
      <c r="BK195" s="606"/>
      <c r="BL195" s="607"/>
      <c r="BM195" s="606"/>
      <c r="BN195" s="607"/>
      <c r="BO195" s="606"/>
      <c r="BP195" s="607"/>
      <c r="BQ195" s="606"/>
      <c r="BR195" s="607"/>
      <c r="BS195" s="606"/>
      <c r="BT195" s="607"/>
      <c r="BU195" s="606"/>
      <c r="BV195" s="607"/>
    </row>
    <row r="196" spans="51:74">
      <c r="AY196" s="1"/>
      <c r="AZ196" s="1"/>
      <c r="BA196" s="6"/>
      <c r="BB196" s="605"/>
      <c r="BC196" s="610">
        <v>25500</v>
      </c>
      <c r="BD196" s="595" t="s">
        <v>21</v>
      </c>
      <c r="BE196" s="610">
        <v>26000</v>
      </c>
      <c r="BF196" s="595" t="s">
        <v>21</v>
      </c>
      <c r="BG196" s="610">
        <v>26500</v>
      </c>
      <c r="BH196" s="595" t="s">
        <v>21</v>
      </c>
      <c r="BI196" s="610">
        <v>27000</v>
      </c>
      <c r="BJ196" s="595" t="s">
        <v>21</v>
      </c>
      <c r="BK196" s="610">
        <v>27500</v>
      </c>
      <c r="BL196" s="595" t="s">
        <v>21</v>
      </c>
      <c r="BM196" s="610">
        <v>28000</v>
      </c>
      <c r="BN196" s="595" t="s">
        <v>21</v>
      </c>
      <c r="BO196" s="610">
        <v>28500</v>
      </c>
      <c r="BP196" s="595" t="s">
        <v>21</v>
      </c>
      <c r="BQ196" s="610">
        <v>29000</v>
      </c>
      <c r="BR196" s="595" t="s">
        <v>21</v>
      </c>
      <c r="BS196" s="610">
        <v>29500</v>
      </c>
      <c r="BT196" s="595" t="s">
        <v>21</v>
      </c>
      <c r="BU196" s="610">
        <v>30000</v>
      </c>
      <c r="BV196" s="595" t="s">
        <v>21</v>
      </c>
    </row>
    <row r="197" spans="51:74" ht="14.4">
      <c r="AY197" s="1"/>
      <c r="AZ197" s="597" t="s">
        <v>210</v>
      </c>
      <c r="BA197" s="598">
        <v>2494</v>
      </c>
      <c r="BB197" s="611">
        <v>0.4</v>
      </c>
      <c r="BC197" s="600">
        <f>(BC$196*$BB197)/1000</f>
        <v>10.199999999999999</v>
      </c>
      <c r="BD197" s="601" t="str">
        <f>CONCATENATE(ROUND(BC197*$AZ$162,0),"€ |",ROUND(BC197*$AZ$163,0),"€")</f>
        <v>306€ |2040€</v>
      </c>
      <c r="BE197" s="600">
        <f>(BE$196*$BB197)/1000</f>
        <v>10.4</v>
      </c>
      <c r="BF197" s="601" t="str">
        <f>CONCATENATE(ROUND(BE197*$AZ$162,0),"€ |",ROUND(BE197*$AZ$163,0),"€")</f>
        <v>312€ |2080€</v>
      </c>
      <c r="BG197" s="600">
        <f>(BG$196*$BB197)/1000</f>
        <v>10.6</v>
      </c>
      <c r="BH197" s="601" t="str">
        <f>CONCATENATE(ROUND(BG197*$AZ$162,0),"€ |",ROUND(BG197*$AZ$163,0),"€")</f>
        <v>318€ |2120€</v>
      </c>
      <c r="BI197" s="600">
        <f>(BI$196*$BB197)/1000</f>
        <v>10.8</v>
      </c>
      <c r="BJ197" s="601" t="str">
        <f>CONCATENATE(ROUND(BI197*$AZ$162,0),"€ |",ROUND(BI197*$AZ$163,0),"€")</f>
        <v>324€ |2160€</v>
      </c>
      <c r="BK197" s="600">
        <f>(BK$196*$BB197)/1000</f>
        <v>11</v>
      </c>
      <c r="BL197" s="601" t="str">
        <f>CONCATENATE(ROUND(BK197*$AZ$162,0),"€ |",ROUND(BK197*$AZ$163,0),"€")</f>
        <v>330€ |2200€</v>
      </c>
      <c r="BM197" s="600">
        <f>(BM$196*$BB197)/1000</f>
        <v>11.2</v>
      </c>
      <c r="BN197" s="601" t="str">
        <f>CONCATENATE(ROUND(BM197*$AZ$162,0),"€ |",ROUND(BM197*$AZ$163,0),"€")</f>
        <v>336€ |2240€</v>
      </c>
      <c r="BO197" s="600">
        <f>(BO$196*$BB197)/1000</f>
        <v>11.4</v>
      </c>
      <c r="BP197" s="601" t="str">
        <f>CONCATENATE(ROUND(BO197*$AZ$162,0),"€ |",ROUND(BO197*$AZ$163,0),"€")</f>
        <v>342€ |2280€</v>
      </c>
      <c r="BQ197" s="600">
        <f>(BQ$196*$BB197)/1000</f>
        <v>11.6</v>
      </c>
      <c r="BR197" s="601" t="str">
        <f>CONCATENATE(ROUND(BQ197*$AZ$162,0),"€ |",ROUND(BQ197*$AZ$163,0),"€")</f>
        <v>348€ |2320€</v>
      </c>
      <c r="BS197" s="600">
        <f>(BS$196*$BB197)/1000</f>
        <v>11.8</v>
      </c>
      <c r="BT197" s="601" t="str">
        <f>CONCATENATE(ROUND(BS197*$AZ$162,0),"€ |",ROUND(BS197*$AZ$163,0),"€")</f>
        <v>354€ |2360€</v>
      </c>
      <c r="BU197" s="600">
        <f>(BU$196*$BB197)/1000</f>
        <v>12</v>
      </c>
      <c r="BV197" s="601" t="str">
        <f>CONCATENATE(ROUND(BU197*$AZ$162,0),"€ |",ROUND(BU197*$AZ$163,0),"€")</f>
        <v>360€ |2400€</v>
      </c>
    </row>
    <row r="198" spans="51:74" ht="14.4">
      <c r="AY198" s="1"/>
      <c r="AZ198" s="597" t="s">
        <v>321</v>
      </c>
      <c r="BA198" s="598">
        <v>5497</v>
      </c>
      <c r="BB198" s="611">
        <v>0.18</v>
      </c>
      <c r="BC198" s="600">
        <f>(BC$196*$BB198)/1000</f>
        <v>4.59</v>
      </c>
      <c r="BD198" s="601" t="str">
        <f>CONCATENATE(ROUND(BC198*$AZ$162,0),"€ |",ROUND(BC198*$AZ$163,0),"€")</f>
        <v>138€ |918€</v>
      </c>
      <c r="BE198" s="600">
        <f>(BE$196*$BB198)/1000</f>
        <v>4.68</v>
      </c>
      <c r="BF198" s="601" t="str">
        <f>CONCATENATE(ROUND(BE198*$AZ$162,0),"€ |",ROUND(BE198*$AZ$163,0),"€")</f>
        <v>140€ |936€</v>
      </c>
      <c r="BG198" s="600">
        <f>(BG$196*$BB198)/1000</f>
        <v>4.7699999999999996</v>
      </c>
      <c r="BH198" s="601" t="str">
        <f>CONCATENATE(ROUND(BG198*$AZ$162,0),"€ |",ROUND(BG198*$AZ$163,0),"€")</f>
        <v>143€ |954€</v>
      </c>
      <c r="BI198" s="600">
        <f>(BI$196*$BB198)/1000</f>
        <v>4.8600000000000003</v>
      </c>
      <c r="BJ198" s="601" t="str">
        <f>CONCATENATE(ROUND(BI198*$AZ$162,0),"€ |",ROUND(BI198*$AZ$163,0),"€")</f>
        <v>146€ |972€</v>
      </c>
      <c r="BK198" s="600">
        <f>(BK$196*$BB198)/1000</f>
        <v>4.95</v>
      </c>
      <c r="BL198" s="601" t="str">
        <f>CONCATENATE(ROUND(BK198*$AZ$162,0),"€ |",ROUND(BK198*$AZ$163,0),"€")</f>
        <v>149€ |990€</v>
      </c>
      <c r="BM198" s="600">
        <f>(BM$196*$BB198)/1000</f>
        <v>5.04</v>
      </c>
      <c r="BN198" s="601" t="str">
        <f>CONCATENATE(ROUND(BM198*$AZ$162,0),"€ |",ROUND(BM198*$AZ$163,0),"€")</f>
        <v>151€ |1008€</v>
      </c>
      <c r="BO198" s="600">
        <f>(BO$196*$BB198)/1000</f>
        <v>5.13</v>
      </c>
      <c r="BP198" s="601" t="str">
        <f>CONCATENATE(ROUND(BO198*$AZ$162,0),"€ |",ROUND(BO198*$AZ$163,0),"€")</f>
        <v>154€ |1026€</v>
      </c>
      <c r="BQ198" s="600">
        <f>(BQ$196*$BB198)/1000</f>
        <v>5.22</v>
      </c>
      <c r="BR198" s="601" t="str">
        <f>CONCATENATE(ROUND(BQ198*$AZ$162,0),"€ |",ROUND(BQ198*$AZ$163,0),"€")</f>
        <v>157€ |1044€</v>
      </c>
      <c r="BS198" s="600">
        <f>(BS$196*$BB198)/1000</f>
        <v>5.31</v>
      </c>
      <c r="BT198" s="601" t="str">
        <f>CONCATENATE(ROUND(BS198*$AZ$162,0),"€ |",ROUND(BS198*$AZ$163,0),"€")</f>
        <v>159€ |1062€</v>
      </c>
      <c r="BU198" s="600">
        <f>(BU$196*$BB198)/1000</f>
        <v>5.4</v>
      </c>
      <c r="BV198" s="601" t="str">
        <f>CONCATENATE(ROUND(BU198*$AZ$162,0),"€ |",ROUND(BU198*$AZ$163,0),"€")</f>
        <v>162€ |1080€</v>
      </c>
    </row>
    <row r="199" spans="51:74" ht="14.4">
      <c r="AY199" s="1"/>
      <c r="AZ199" s="597" t="s">
        <v>468</v>
      </c>
      <c r="BA199" s="598">
        <v>3740</v>
      </c>
      <c r="BB199" s="611">
        <v>0.27</v>
      </c>
      <c r="BC199" s="600" t="str">
        <f>CONCATENATE(BC196/10,"L;",ROUND((BC$178*$BB199)/1000,1),"t")</f>
        <v>2550L;2,8t</v>
      </c>
      <c r="BD199" s="603" t="str">
        <f>CONCATENATE(ROUND((BC196*$BB199/1000)*$AZ$162,0),"€ | ",ROUND((BC196*$BB199/1000)*$AZ$163,0),"€")</f>
        <v>207€ | 1377€</v>
      </c>
      <c r="BE199" s="600" t="str">
        <f>CONCATENATE(BE196/10,"L;",ROUND((BE$178*$BB199)/1000,1),"t")</f>
        <v>2600L;3t</v>
      </c>
      <c r="BF199" s="603" t="str">
        <f>CONCATENATE(ROUND((BE196*$BB199/1000)*$AZ$162,0),"€ | ",ROUND((BE196*$BB199/1000)*$AZ$163,0),"€")</f>
        <v>211€ | 1404€</v>
      </c>
      <c r="BG199" s="600" t="str">
        <f>CONCATENATE(BG196/10,"L;",ROUND((BG$178*$BB199)/1000,1),"t")</f>
        <v>2650L;3,1t</v>
      </c>
      <c r="BH199" s="603" t="str">
        <f>CONCATENATE(ROUND((BG196*$BB199/1000)*$AZ$162,0),"€ | ",ROUND((BG196*$BB199/1000)*$AZ$163,0),"€")</f>
        <v>215€ | 1431€</v>
      </c>
      <c r="BI199" s="600" t="str">
        <f>CONCATENATE(BI196/10,"L;",ROUND((BI$178*$BB199)/1000,1),"t")</f>
        <v>2700L;3,2t</v>
      </c>
      <c r="BJ199" s="603" t="str">
        <f>CONCATENATE(ROUND((BI196*$BB199/1000)*$AZ$162,0),"€ | ",ROUND((BI196*$BB199/1000)*$AZ$163,0),"€")</f>
        <v>219€ | 1458€</v>
      </c>
      <c r="BK199" s="600" t="str">
        <f>CONCATENATE(BK196/10,"L;",ROUND((BK$178*$BB199)/1000,1),"t")</f>
        <v>2750L;3,4t</v>
      </c>
      <c r="BL199" s="603" t="str">
        <f>CONCATENATE(ROUND((BK196*$BB199/1000)*$AZ$162,0),"€ | ",ROUND((BK196*$BB199/1000)*$AZ$163,0),"€")</f>
        <v>223€ | 1485€</v>
      </c>
      <c r="BM199" s="600" t="str">
        <f>CONCATENATE(BM196/10,"L;",ROUND((BM$178*$BB199)/1000,1),"t")</f>
        <v>2800L;3,5t</v>
      </c>
      <c r="BN199" s="603" t="str">
        <f>CONCATENATE(ROUND((BM196*$BB199/1000)*$AZ$162,0),"€ | ",ROUND((BM196*$BB199/1000)*$AZ$163,0),"€")</f>
        <v>227€ | 1512€</v>
      </c>
      <c r="BO199" s="600" t="str">
        <f>CONCATENATE(BO196/10,"L;",ROUND((BO$178*$BB199)/1000,1),"t")</f>
        <v>2850L;3,6t</v>
      </c>
      <c r="BP199" s="603" t="str">
        <f>CONCATENATE(ROUND((BO196*$BB199/1000)*$AZ$162,0),"€ | ",ROUND((BO196*$BB199/1000)*$AZ$163,0),"€")</f>
        <v>231€ | 1539€</v>
      </c>
      <c r="BQ199" s="600" t="str">
        <f>CONCATENATE(BQ196/10,"L;",ROUND((BQ$178*$BB199)/1000,1),"t")</f>
        <v>2900L;3,8t</v>
      </c>
      <c r="BR199" s="603" t="str">
        <f>CONCATENATE(ROUND((BQ196*$BB199/1000)*$AZ$162,0),"€ | ",ROUND((BQ196*$BB199/1000)*$AZ$163,0),"€")</f>
        <v>235€ | 1566€</v>
      </c>
      <c r="BS199" s="600" t="str">
        <f>CONCATENATE(BS196/10,"L;",ROUND((BS$178*$BB199)/1000,1),"t")</f>
        <v>2950L;3,9t</v>
      </c>
      <c r="BT199" s="603" t="str">
        <f>CONCATENATE(ROUND((BS196*$BB199/1000)*$AZ$162,0),"€ | ",ROUND((BS196*$BB199/1000)*$AZ$163,0),"€")</f>
        <v>239€ | 1593€</v>
      </c>
      <c r="BU199" s="600" t="str">
        <f>CONCATENATE(BU196/10,"L;",ROUND((BU$178*$BB199)/1000,1),"t")</f>
        <v>3000L;4,1t</v>
      </c>
      <c r="BV199" s="603" t="str">
        <f>CONCATENATE(ROUND((BU196*$BB199/1000)*$AZ$162,0),"€ | ",ROUND((BU196*$BB199/1000)*$AZ$163,0),"€")</f>
        <v>243€ | 1620€</v>
      </c>
    </row>
    <row r="200" spans="51:74" ht="14.4">
      <c r="AY200" s="1"/>
      <c r="AZ200" s="597" t="s">
        <v>84</v>
      </c>
      <c r="BA200" s="598">
        <v>330</v>
      </c>
      <c r="BB200" s="611">
        <f>3.03/14</f>
        <v>0.21642857142857141</v>
      </c>
      <c r="BC200" s="600" t="str">
        <f>CONCATENATE(ROUND(BC196/14,0),"kg;",ROUND((BC196*$BB200)/1000,1),"t")</f>
        <v>1821kg;5,5t</v>
      </c>
      <c r="BD200" s="603" t="str">
        <f>CONCATENATE(ROUND((BC196*$BB200/1000)*$AZ$162,0),"€ | ",ROUND((BC196*$BB200/1000)*$AZ$163,0),"€")</f>
        <v>166€ | 1104€</v>
      </c>
      <c r="BE200" s="600" t="str">
        <f>CONCATENATE(ROUND(BE196/14,0),"kg;",ROUND((BE196*$BB200)/1000,1),"t")</f>
        <v>1857kg;5,6t</v>
      </c>
      <c r="BF200" s="603" t="str">
        <f>CONCATENATE(ROUND((BE196*$BB200/1000)*$AZ$162,0),"€ | ",ROUND((BE196*$BB200/1000)*$AZ$163,0),"€")</f>
        <v>169€ | 1125€</v>
      </c>
      <c r="BG200" s="600" t="str">
        <f>CONCATENATE(ROUND(BG196/14,0),"kg;",ROUND((BG196*$BB200)/1000,1),"t")</f>
        <v>1893kg;5,7t</v>
      </c>
      <c r="BH200" s="603" t="str">
        <f>CONCATENATE(ROUND((BG196*$BB200/1000)*$AZ$162,0),"€ | ",ROUND((BG196*$BB200/1000)*$AZ$163,0),"€")</f>
        <v>172€ | 1147€</v>
      </c>
      <c r="BI200" s="600" t="str">
        <f>CONCATENATE(ROUND(BI196/14,0),"kg;",ROUND((BI196*$BB200)/1000,1),"t")</f>
        <v>1929kg;5,8t</v>
      </c>
      <c r="BJ200" s="603" t="str">
        <f>CONCATENATE(ROUND((BI196*$BB200/1000)*$AZ$162,0),"€ | ",ROUND((BI196*$BB200/1000)*$AZ$163,0),"€")</f>
        <v>175€ | 1169€</v>
      </c>
      <c r="BK200" s="600" t="str">
        <f>CONCATENATE(ROUND(BK196/14,0),"kg;",ROUND((BK196*$BB200)/1000,1),"t")</f>
        <v>1964kg;6t</v>
      </c>
      <c r="BL200" s="603" t="str">
        <f>CONCATENATE(ROUND((BK196*$BB200/1000)*$AZ$162,0),"€ | ",ROUND((BK196*$BB200/1000)*$AZ$163,0),"€")</f>
        <v>179€ | 1190€</v>
      </c>
      <c r="BM200" s="600" t="str">
        <f>CONCATENATE(ROUND(BM196/14,0),"kg;",ROUND((BM196*$BB200)/1000,1),"t")</f>
        <v>2000kg;6,1t</v>
      </c>
      <c r="BN200" s="603" t="str">
        <f>CONCATENATE(ROUND((BM196*$BB200/1000)*$AZ$162,0),"€ | ",ROUND((BM196*$BB200/1000)*$AZ$163,0),"€")</f>
        <v>182€ | 1212€</v>
      </c>
      <c r="BO200" s="600" t="str">
        <f>CONCATENATE(ROUND(BO196/14,0),"kg;",ROUND((BO196*$BB200)/1000,1),"t")</f>
        <v>2036kg;6,2t</v>
      </c>
      <c r="BP200" s="603" t="str">
        <f>CONCATENATE(ROUND((BO196*$BB200/1000)*$AZ$162,0),"€ | ",ROUND((BO196*$BB200/1000)*$AZ$163,0),"€")</f>
        <v>185€ | 1234€</v>
      </c>
      <c r="BQ200" s="600" t="str">
        <f>CONCATENATE(ROUND(BQ196/14,0),"kg;",ROUND((BQ196*$BB200)/1000,1),"t")</f>
        <v>2071kg;6,3t</v>
      </c>
      <c r="BR200" s="603" t="str">
        <f>CONCATENATE(ROUND((BQ196*$BB200/1000)*$AZ$162,0),"€ | ",ROUND((BQ196*$BB200/1000)*$AZ$163,0),"€")</f>
        <v>188€ | 1255€</v>
      </c>
      <c r="BS200" s="600" t="str">
        <f>CONCATENATE(ROUND(BS196/14,0),"kg;",ROUND((BS196*$BB200)/1000,1),"t")</f>
        <v>2107kg;6,4t</v>
      </c>
      <c r="BT200" s="603" t="str">
        <f>CONCATENATE(ROUND((BS196*$BB200/1000)*$AZ$162,0),"€ | ",ROUND((BS196*$BB200/1000)*$AZ$163,0),"€")</f>
        <v>192€ | 1277€</v>
      </c>
      <c r="BU200" s="600" t="str">
        <f>CONCATENATE(ROUND(BU196/14,0),"kg;",ROUND((BU196*$BB200)/1000,1),"t")</f>
        <v>2143kg;6,5t</v>
      </c>
      <c r="BV200" s="603" t="str">
        <f>CONCATENATE(ROUND((BU196*$BB200/1000)*$AZ$162,0),"€ | ",ROUND((BU196*$BB200/1000)*$AZ$163,0),"€")</f>
        <v>195€ | 1299€</v>
      </c>
    </row>
    <row r="201" spans="51:74">
      <c r="AY201" s="1"/>
    </row>
    <row r="202" spans="51:74">
      <c r="AY202" s="1"/>
      <c r="AZ202" s="1"/>
      <c r="BA202" s="6"/>
      <c r="BB202" s="605"/>
      <c r="BC202" s="610">
        <v>40000</v>
      </c>
      <c r="BD202" s="595" t="s">
        <v>21</v>
      </c>
      <c r="BE202" s="610">
        <v>60000</v>
      </c>
      <c r="BF202" s="595" t="s">
        <v>21</v>
      </c>
      <c r="BG202" s="610">
        <v>80000</v>
      </c>
      <c r="BH202" s="595" t="s">
        <v>21</v>
      </c>
      <c r="BI202" s="610">
        <v>100000</v>
      </c>
      <c r="BJ202" s="595" t="s">
        <v>21</v>
      </c>
      <c r="BK202" s="610">
        <v>125000</v>
      </c>
      <c r="BL202" s="595" t="s">
        <v>21</v>
      </c>
      <c r="BM202" s="610">
        <v>150000</v>
      </c>
      <c r="BN202" s="595" t="s">
        <v>21</v>
      </c>
      <c r="BO202" s="610">
        <v>175000</v>
      </c>
      <c r="BP202" s="595" t="s">
        <v>21</v>
      </c>
      <c r="BQ202" s="610">
        <v>200000</v>
      </c>
      <c r="BR202" s="595" t="s">
        <v>21</v>
      </c>
      <c r="BS202" s="610">
        <v>250000</v>
      </c>
      <c r="BT202" s="595" t="s">
        <v>21</v>
      </c>
      <c r="BU202" s="610">
        <v>300000</v>
      </c>
      <c r="BV202" s="595" t="s">
        <v>21</v>
      </c>
    </row>
    <row r="203" spans="51:74" ht="14.4">
      <c r="AY203" s="1"/>
      <c r="AZ203" s="597" t="s">
        <v>210</v>
      </c>
      <c r="BA203" s="598">
        <v>2494</v>
      </c>
      <c r="BB203" s="611">
        <v>0.4</v>
      </c>
      <c r="BC203" s="600">
        <f>(BC$202*$BB203)/1000</f>
        <v>16</v>
      </c>
      <c r="BD203" s="601" t="str">
        <f>CONCATENATE(ROUND(BC203*$AZ$162,0),"€ |",ROUND(BC203*$AZ$163,0),"€")</f>
        <v>480€ |3200€</v>
      </c>
      <c r="BE203" s="600">
        <f>(BE$202*$BB203)/1000</f>
        <v>24</v>
      </c>
      <c r="BF203" s="601" t="str">
        <f>CONCATENATE(ROUND(BE203*$AZ$162,0),"€ |",ROUND(BE203*$AZ$163,0),"€")</f>
        <v>720€ |4800€</v>
      </c>
      <c r="BG203" s="600">
        <f>(BG$202*$BB203)/1000</f>
        <v>32</v>
      </c>
      <c r="BH203" s="601" t="str">
        <f>CONCATENATE(ROUND(BG203*$AZ$162,0),"€ |",ROUND(BG203*$AZ$163,0),"€")</f>
        <v>960€ |6400€</v>
      </c>
      <c r="BI203" s="600">
        <f>(BI$202*$BB203)/1000</f>
        <v>40</v>
      </c>
      <c r="BJ203" s="601" t="str">
        <f>CONCATENATE(ROUND(BI203*$AZ$162,0),"€ |",ROUND(BI203*$AZ$163,0),"€")</f>
        <v>1200€ |8000€</v>
      </c>
      <c r="BK203" s="600">
        <f>(BK$202*$BB203)/1000</f>
        <v>50</v>
      </c>
      <c r="BL203" s="601" t="str">
        <f>CONCATENATE(ROUND(BK203*$AZ$162,0),"€ |",ROUND(BK203*$AZ$163,0),"€")</f>
        <v>1500€ |10000€</v>
      </c>
      <c r="BM203" s="600">
        <f>(BM$202*$BB203)/1000</f>
        <v>60</v>
      </c>
      <c r="BN203" s="601" t="str">
        <f>CONCATENATE(ROUND(BM203*$AZ$162,0),"€ |",ROUND(BM203*$AZ$163,0),"€")</f>
        <v>1800€ |12000€</v>
      </c>
      <c r="BO203" s="600">
        <f>(BO$202*$BB203)/1000</f>
        <v>70</v>
      </c>
      <c r="BP203" s="601" t="str">
        <f>CONCATENATE(ROUND(BO203*$AZ$162,0),"€ |",ROUND(BO203*$AZ$163,0),"€")</f>
        <v>2100€ |14000€</v>
      </c>
      <c r="BQ203" s="600">
        <f>(BQ$202*$BB203)/1000</f>
        <v>80</v>
      </c>
      <c r="BR203" s="601" t="str">
        <f>CONCATENATE(ROUND(BQ203*$AZ$162,0),"€ |",ROUND(BQ203*$AZ$163,0),"€")</f>
        <v>2400€ |16000€</v>
      </c>
      <c r="BS203" s="600">
        <f>(BS$202*$BB203)/1000</f>
        <v>100</v>
      </c>
      <c r="BT203" s="601" t="str">
        <f>CONCATENATE(ROUND(BS203*$AZ$162,0),"€ |",ROUND(BS203*$AZ$163,0),"€")</f>
        <v>3000€ |20000€</v>
      </c>
      <c r="BU203" s="600">
        <f>(BU$202*$BB203)/1000</f>
        <v>120</v>
      </c>
      <c r="BV203" s="601" t="str">
        <f>CONCATENATE(ROUND(BU203*$AZ$162,0),"€ |",ROUND(BU203*$AZ$163,0),"€")</f>
        <v>3600€ |24000€</v>
      </c>
    </row>
    <row r="204" spans="51:74" ht="14.4">
      <c r="AY204" s="1"/>
      <c r="AZ204" s="597" t="s">
        <v>321</v>
      </c>
      <c r="BA204" s="598">
        <v>5497</v>
      </c>
      <c r="BB204" s="611">
        <v>0.18</v>
      </c>
      <c r="BC204" s="600">
        <f>(BC$202*$BB204)/1000</f>
        <v>7.2</v>
      </c>
      <c r="BD204" s="601" t="str">
        <f>CONCATENATE(ROUND(BC204*$AZ$162,0),"€ |",ROUND(BC204*$AZ$163,0),"€")</f>
        <v>216€ |1440€</v>
      </c>
      <c r="BE204" s="600">
        <f>(BE$202*$BB204)/1000</f>
        <v>10.8</v>
      </c>
      <c r="BF204" s="601" t="str">
        <f>CONCATENATE(ROUND(BE204*$AZ$162,0),"€ |",ROUND(BE204*$AZ$163,0),"€")</f>
        <v>324€ |2160€</v>
      </c>
      <c r="BG204" s="600">
        <f>(BG$202*$BB204)/1000</f>
        <v>14.4</v>
      </c>
      <c r="BH204" s="601" t="str">
        <f>CONCATENATE(ROUND(BG204*$AZ$162,0),"€ |",ROUND(BG204*$AZ$163,0),"€")</f>
        <v>432€ |2880€</v>
      </c>
      <c r="BI204" s="600">
        <f>(BI$202*$BB204)/1000</f>
        <v>18</v>
      </c>
      <c r="BJ204" s="601" t="str">
        <f>CONCATENATE(ROUND(BI204*$AZ$162,0),"€ |",ROUND(BI204*$AZ$163,0),"€")</f>
        <v>540€ |3600€</v>
      </c>
      <c r="BK204" s="600">
        <f>(BK$202*$BB204)/1000</f>
        <v>22.5</v>
      </c>
      <c r="BL204" s="601" t="str">
        <f>CONCATENATE(ROUND(BK204*$AZ$162,0),"€ |",ROUND(BK204*$AZ$163,0),"€")</f>
        <v>675€ |4500€</v>
      </c>
      <c r="BM204" s="600">
        <f>(BM$202*$BB204)/1000</f>
        <v>27</v>
      </c>
      <c r="BN204" s="601" t="str">
        <f>CONCATENATE(ROUND(BM204*$AZ$162,0),"€ |",ROUND(BM204*$AZ$163,0),"€")</f>
        <v>810€ |5400€</v>
      </c>
      <c r="BO204" s="600">
        <f>(BO$202*$BB204)/1000</f>
        <v>31.5</v>
      </c>
      <c r="BP204" s="601" t="str">
        <f>CONCATENATE(ROUND(BO204*$AZ$162,0),"€ |",ROUND(BO204*$AZ$163,0),"€")</f>
        <v>945€ |6300€</v>
      </c>
      <c r="BQ204" s="600">
        <f>(BQ$202*$BB204)/1000</f>
        <v>36</v>
      </c>
      <c r="BR204" s="601" t="str">
        <f>CONCATENATE(ROUND(BQ204*$AZ$162,0),"€ |",ROUND(BQ204*$AZ$163,0),"€")</f>
        <v>1080€ |7200€</v>
      </c>
      <c r="BS204" s="600">
        <f>(BS$202*$BB204)/1000</f>
        <v>45</v>
      </c>
      <c r="BT204" s="601" t="str">
        <f>CONCATENATE(ROUND(BS204*$AZ$162,0),"€ |",ROUND(BS204*$AZ$163,0),"€")</f>
        <v>1350€ |9000€</v>
      </c>
      <c r="BU204" s="600">
        <f>(BU$202*$BB204)/1000</f>
        <v>54</v>
      </c>
      <c r="BV204" s="601" t="str">
        <f>CONCATENATE(ROUND(BU204*$AZ$162,0),"€ |",ROUND(BU204*$AZ$163,0),"€")</f>
        <v>1620€ |10800€</v>
      </c>
    </row>
    <row r="205" spans="51:74" ht="14.4">
      <c r="AZ205" s="597" t="s">
        <v>468</v>
      </c>
      <c r="BA205" s="598">
        <v>3740</v>
      </c>
      <c r="BB205" s="611">
        <v>0.27</v>
      </c>
      <c r="BC205" s="600" t="str">
        <f>CONCATENATE(BC202/10,"L;",ROUND((BC$178*$BB205)/1000,1),"t")</f>
        <v>4000L;2,8t</v>
      </c>
      <c r="BD205" s="603" t="str">
        <f>CONCATENATE(ROUND((BC202*$BB205/1000)*$AZ$162,0),"€ | ",ROUND((BC202*$BB205/1000)*$AZ$163,0),"€")</f>
        <v>324€ | 2160€</v>
      </c>
      <c r="BE205" s="600" t="str">
        <f>CONCATENATE(BE202/10,"L;",ROUND((BE$178*$BB205)/1000,1),"t")</f>
        <v>6000L;3t</v>
      </c>
      <c r="BF205" s="603" t="str">
        <f>CONCATENATE(ROUND((BE202*$BB205/1000)*$AZ$162,0),"€ | ",ROUND((BE202*$BB205/1000)*$AZ$163,0),"€")</f>
        <v>486€ | 3240€</v>
      </c>
      <c r="BG205" s="600" t="str">
        <f>CONCATENATE(BG202/10,"L;",ROUND((BG$178*$BB205)/1000,1),"t")</f>
        <v>8000L;3,1t</v>
      </c>
      <c r="BH205" s="603" t="str">
        <f>CONCATENATE(ROUND((BG202*$BB205/1000)*$AZ$162,0),"€ | ",ROUND((BG202*$BB205/1000)*$AZ$163,0),"€")</f>
        <v>648€ | 4320€</v>
      </c>
      <c r="BI205" s="600" t="str">
        <f>CONCATENATE(BI202/10,"L;",ROUND((BI$178*$BB205)/1000,1),"t")</f>
        <v>10000L;3,2t</v>
      </c>
      <c r="BJ205" s="603" t="str">
        <f>CONCATENATE(ROUND((BI202*$BB205/1000)*$AZ$162,0),"€ | ",ROUND((BI202*$BB205/1000)*$AZ$163,0),"€")</f>
        <v>810€ | 5400€</v>
      </c>
      <c r="BK205" s="600" t="str">
        <f>CONCATENATE(BK202/10,"L;",ROUND((BK$178*$BB205)/1000,1),"t")</f>
        <v>12500L;3,4t</v>
      </c>
      <c r="BL205" s="603" t="str">
        <f>CONCATENATE(ROUND((BK202*$BB205/1000)*$AZ$162,0),"€ | ",ROUND((BK202*$BB205/1000)*$AZ$163,0),"€")</f>
        <v>1013€ | 6750€</v>
      </c>
      <c r="BM205" s="600" t="str">
        <f>CONCATENATE(BM202/10,"L;",ROUND((BM$178*$BB205)/1000,1),"t")</f>
        <v>15000L;3,5t</v>
      </c>
      <c r="BN205" s="603" t="str">
        <f>CONCATENATE(ROUND((BM202*$BB205/1000)*$AZ$162,0),"€ | ",ROUND((BM202*$BB205/1000)*$AZ$163,0),"€")</f>
        <v>1215€ | 8100€</v>
      </c>
      <c r="BO205" s="600" t="str">
        <f>CONCATENATE(BO202/10,"L;",ROUND((BO$178*$BB205)/1000,1),"t")</f>
        <v>17500L;3,6t</v>
      </c>
      <c r="BP205" s="603" t="str">
        <f>CONCATENATE(ROUND((BO202*$BB205/1000)*$AZ$162,0),"€ | ",ROUND((BO202*$BB205/1000)*$AZ$163,0),"€")</f>
        <v>1418€ | 9450€</v>
      </c>
      <c r="BQ205" s="600" t="str">
        <f>CONCATENATE(BQ202/10,"L;",ROUND((BQ$178*$BB205)/1000,1),"t")</f>
        <v>20000L;3,8t</v>
      </c>
      <c r="BR205" s="603" t="str">
        <f>CONCATENATE(ROUND((BQ202*$BB205/1000)*$AZ$162,0),"€ | ",ROUND((BQ202*$BB205/1000)*$AZ$163,0),"€")</f>
        <v>1620€ | 10800€</v>
      </c>
      <c r="BS205" s="600" t="str">
        <f>CONCATENATE(BS202/10,"L;",ROUND((BS$178*$BB205)/1000,1),"t")</f>
        <v>25000L;3,9t</v>
      </c>
      <c r="BT205" s="603" t="str">
        <f>CONCATENATE(ROUND((BS202*$BB205/1000)*$AZ$162,0),"€ | ",ROUND((BS202*$BB205/1000)*$AZ$163,0),"€")</f>
        <v>2025€ | 13500€</v>
      </c>
      <c r="BU205" s="600" t="str">
        <f>CONCATENATE(BU202/10,"L;",ROUND((BU$178*$BB205)/1000,1),"t")</f>
        <v>30000L;4,1t</v>
      </c>
      <c r="BV205" s="603" t="str">
        <f>CONCATENATE(ROUND((BU202*$BB205/1000)*$AZ$162,0),"€ | ",ROUND((BU202*$BB205/1000)*$AZ$163,0),"€")</f>
        <v>2430€ | 16200€</v>
      </c>
    </row>
    <row r="206" spans="51:74" ht="14.4">
      <c r="AZ206" s="597" t="s">
        <v>84</v>
      </c>
      <c r="BA206" s="598">
        <v>330</v>
      </c>
      <c r="BB206" s="611">
        <f>3.03/14</f>
        <v>0.21642857142857141</v>
      </c>
      <c r="BC206" s="600" t="str">
        <f>CONCATENATE(ROUND(BC202/14,0),"kg;",ROUND((BC202*$BB206)/1000,1),"t")</f>
        <v>2857kg;8,7t</v>
      </c>
      <c r="BD206" s="603" t="str">
        <f>CONCATENATE(ROUND((BC202*$BB206/1000)*$AZ$162,0),"€ | ",ROUND((BC202*$BB206/1000)*$AZ$163,0),"€")</f>
        <v>260€ | 1731€</v>
      </c>
      <c r="BE206" s="600" t="str">
        <f>CONCATENATE(ROUND(BE202/14,0),"kg;",ROUND((BE202*$BB206)/1000,1),"t")</f>
        <v>4286kg;13t</v>
      </c>
      <c r="BF206" s="603" t="str">
        <f>CONCATENATE(ROUND((BE202*$BB206/1000)*$AZ$162,0),"€ | ",ROUND((BE202*$BB206/1000)*$AZ$163,0),"€")</f>
        <v>390€ | 2597€</v>
      </c>
      <c r="BG206" s="600" t="str">
        <f>CONCATENATE(ROUND(BG202/14,0),"kg;",ROUND((BG202*$BB206)/1000,1),"t")</f>
        <v>5714kg;17,3t</v>
      </c>
      <c r="BH206" s="603" t="str">
        <f>CONCATENATE(ROUND((BG202*$BB206/1000)*$AZ$162,0),"€ | ",ROUND((BG202*$BB206/1000)*$AZ$163,0),"€")</f>
        <v>519€ | 3463€</v>
      </c>
      <c r="BI206" s="600" t="str">
        <f>CONCATENATE(ROUND(BI202/14,0),"kg;",ROUND((BI202*$BB206)/1000,1),"t")</f>
        <v>7143kg;21,6t</v>
      </c>
      <c r="BJ206" s="603" t="str">
        <f>CONCATENATE(ROUND((BI202*$BB206/1000)*$AZ$162,0),"€ | ",ROUND((BI202*$BB206/1000)*$AZ$163,0),"€")</f>
        <v>649€ | 4329€</v>
      </c>
      <c r="BK206" s="600" t="str">
        <f>CONCATENATE(ROUND(BK202/14,0),"kg;",ROUND((BK202*$BB206)/1000,1),"t")</f>
        <v>8929kg;27,1t</v>
      </c>
      <c r="BL206" s="603" t="str">
        <f>CONCATENATE(ROUND((BK202*$BB206/1000)*$AZ$162,0),"€ | ",ROUND((BK202*$BB206/1000)*$AZ$163,0),"€")</f>
        <v>812€ | 5411€</v>
      </c>
      <c r="BM206" s="600" t="str">
        <f>CONCATENATE(ROUND(BM202/14,0),"kg;",ROUND((BM202*$BB206)/1000,1),"t")</f>
        <v>10714kg;32,5t</v>
      </c>
      <c r="BN206" s="603" t="str">
        <f>CONCATENATE(ROUND((BM202*$BB206/1000)*$AZ$162,0),"€ | ",ROUND((BM202*$BB206/1000)*$AZ$163,0),"€")</f>
        <v>974€ | 6493€</v>
      </c>
      <c r="BO206" s="600" t="str">
        <f>CONCATENATE(ROUND(BO202/14,0),"kg;",ROUND((BO202*$BB206)/1000,1),"t")</f>
        <v>12500kg;37,9t</v>
      </c>
      <c r="BP206" s="603" t="str">
        <f>CONCATENATE(ROUND((BO202*$BB206/1000)*$AZ$162,0),"€ | ",ROUND((BO202*$BB206/1000)*$AZ$163,0),"€")</f>
        <v>1136€ | 7575€</v>
      </c>
      <c r="BQ206" s="600" t="str">
        <f>CONCATENATE(ROUND(BQ202/14,0),"kg;",ROUND((BQ202*$BB206)/1000,1),"t")</f>
        <v>14286kg;43,3t</v>
      </c>
      <c r="BR206" s="603" t="str">
        <f>CONCATENATE(ROUND((BQ202*$BB206/1000)*$AZ$162,0),"€ | ",ROUND((BQ202*$BB206/1000)*$AZ$163,0),"€")</f>
        <v>1299€ | 8657€</v>
      </c>
      <c r="BS206" s="600" t="str">
        <f>CONCATENATE(ROUND(BS202/14,0),"kg;",ROUND((BS202*$BB206)/1000,1),"t")</f>
        <v>17857kg;54,1t</v>
      </c>
      <c r="BT206" s="603" t="str">
        <f>CONCATENATE(ROUND((BS202*$BB206/1000)*$AZ$162,0),"€ | ",ROUND((BS202*$BB206/1000)*$AZ$163,0),"€")</f>
        <v>1623€ | 10821€</v>
      </c>
      <c r="BU206" s="600" t="str">
        <f>CONCATENATE(ROUND(BU202/14,0),"kg;",ROUND((BU202*$BB206)/1000,1),"t")</f>
        <v>21429kg;64,9t</v>
      </c>
      <c r="BV206" s="603" t="str">
        <f>CONCATENATE(ROUND((BU202*$BB206/1000)*$AZ$162,0),"€ | ",ROUND((BU202*$BB206/1000)*$AZ$163,0),"€")</f>
        <v>1948€ | 12986€</v>
      </c>
    </row>
  </sheetData>
  <mergeCells count="257">
    <mergeCell ref="AH153:AJ153"/>
    <mergeCell ref="E157:I157"/>
    <mergeCell ref="K157:O159"/>
    <mergeCell ref="E158:J158"/>
    <mergeCell ref="E159:J159"/>
    <mergeCell ref="AY165:AY166"/>
    <mergeCell ref="AH148:AJ148"/>
    <mergeCell ref="N149:O149"/>
    <mergeCell ref="AH149:AJ149"/>
    <mergeCell ref="AH150:AJ150"/>
    <mergeCell ref="AH151:AJ151"/>
    <mergeCell ref="AH152:AJ152"/>
    <mergeCell ref="E145:F145"/>
    <mergeCell ref="AR145:AS145"/>
    <mergeCell ref="E146:F146"/>
    <mergeCell ref="AR146:AS146"/>
    <mergeCell ref="E147:F147"/>
    <mergeCell ref="AR147:AS147"/>
    <mergeCell ref="E142:F142"/>
    <mergeCell ref="AR142:AS142"/>
    <mergeCell ref="E143:F143"/>
    <mergeCell ref="AR143:AS143"/>
    <mergeCell ref="E144:F144"/>
    <mergeCell ref="AR144:AS144"/>
    <mergeCell ref="E139:F139"/>
    <mergeCell ref="AR139:AS139"/>
    <mergeCell ref="E140:F140"/>
    <mergeCell ref="AR140:AS140"/>
    <mergeCell ref="E141:F141"/>
    <mergeCell ref="AR141:AS141"/>
    <mergeCell ref="E136:F136"/>
    <mergeCell ref="AR136:AS136"/>
    <mergeCell ref="E137:F137"/>
    <mergeCell ref="AR137:AS137"/>
    <mergeCell ref="E138:F138"/>
    <mergeCell ref="AR138:AS138"/>
    <mergeCell ref="AU133:AV133"/>
    <mergeCell ref="E134:F134"/>
    <mergeCell ref="AR134:AS134"/>
    <mergeCell ref="AU134:AV134"/>
    <mergeCell ref="E135:F135"/>
    <mergeCell ref="AR135:AS135"/>
    <mergeCell ref="AU135:AV135"/>
    <mergeCell ref="AU130:AV130"/>
    <mergeCell ref="E131:F131"/>
    <mergeCell ref="AR131:AS131"/>
    <mergeCell ref="AU131:AV131"/>
    <mergeCell ref="E132:F132"/>
    <mergeCell ref="T132:T138"/>
    <mergeCell ref="AR132:AS132"/>
    <mergeCell ref="AU132:AV132"/>
    <mergeCell ref="E133:F133"/>
    <mergeCell ref="AR133:AS133"/>
    <mergeCell ref="E128:F128"/>
    <mergeCell ref="AR128:AS128"/>
    <mergeCell ref="AU128:AV128"/>
    <mergeCell ref="E129:F129"/>
    <mergeCell ref="T129:T131"/>
    <mergeCell ref="U129:U142"/>
    <mergeCell ref="AR129:AS129"/>
    <mergeCell ref="AU129:AV129"/>
    <mergeCell ref="E130:F130"/>
    <mergeCell ref="AR130:AS130"/>
    <mergeCell ref="B125:B143"/>
    <mergeCell ref="E125:F125"/>
    <mergeCell ref="AR125:AS125"/>
    <mergeCell ref="AU125:AV125"/>
    <mergeCell ref="E126:F126"/>
    <mergeCell ref="AR126:AS126"/>
    <mergeCell ref="AU126:AV126"/>
    <mergeCell ref="E127:F127"/>
    <mergeCell ref="AR127:AS127"/>
    <mergeCell ref="AU127:AV127"/>
    <mergeCell ref="E122:F122"/>
    <mergeCell ref="AR122:AS122"/>
    <mergeCell ref="AT122:AV123"/>
    <mergeCell ref="E123:F123"/>
    <mergeCell ref="AR123:AS123"/>
    <mergeCell ref="E124:F124"/>
    <mergeCell ref="AR124:AS124"/>
    <mergeCell ref="AU124:AV124"/>
    <mergeCell ref="W120:AD120"/>
    <mergeCell ref="AK120:AL120"/>
    <mergeCell ref="AN120:AP120"/>
    <mergeCell ref="AR120:AS120"/>
    <mergeCell ref="AZ120:BC120"/>
    <mergeCell ref="AN121:AP121"/>
    <mergeCell ref="AR121:AS121"/>
    <mergeCell ref="AN118:AP118"/>
    <mergeCell ref="AR118:AS118"/>
    <mergeCell ref="AT118:AV118"/>
    <mergeCell ref="AW118:AX119"/>
    <mergeCell ref="P119:Q119"/>
    <mergeCell ref="AN119:AP119"/>
    <mergeCell ref="AR119:AS119"/>
    <mergeCell ref="C117:E119"/>
    <mergeCell ref="AG117:AJ117"/>
    <mergeCell ref="AK117:AL117"/>
    <mergeCell ref="AN117:AP117"/>
    <mergeCell ref="AR117:AS117"/>
    <mergeCell ref="AV117:AW117"/>
    <mergeCell ref="T118:W118"/>
    <mergeCell ref="X118:Y118"/>
    <mergeCell ref="Z118:AA118"/>
    <mergeCell ref="AG118:AJ118"/>
    <mergeCell ref="AY114:AZ114"/>
    <mergeCell ref="C115:E116"/>
    <mergeCell ref="AB115:AB116"/>
    <mergeCell ref="AG115:AJ115"/>
    <mergeCell ref="AN115:AP115"/>
    <mergeCell ref="AR115:AS115"/>
    <mergeCell ref="AY115:AZ115"/>
    <mergeCell ref="T116:X116"/>
    <mergeCell ref="AG116:AJ116"/>
    <mergeCell ref="AN116:AP116"/>
    <mergeCell ref="C114:E114"/>
    <mergeCell ref="AG114:AJ114"/>
    <mergeCell ref="AK114:AL114"/>
    <mergeCell ref="AN114:AP114"/>
    <mergeCell ref="AR114:AS114"/>
    <mergeCell ref="AV114:AX116"/>
    <mergeCell ref="AR116:AS116"/>
    <mergeCell ref="AQ111:AS111"/>
    <mergeCell ref="AO112:AP112"/>
    <mergeCell ref="AK113:AL113"/>
    <mergeCell ref="AN113:AS113"/>
    <mergeCell ref="AT113:AU113"/>
    <mergeCell ref="AY113:AZ113"/>
    <mergeCell ref="C109:E109"/>
    <mergeCell ref="G109:H109"/>
    <mergeCell ref="L109:N109"/>
    <mergeCell ref="P109:S109"/>
    <mergeCell ref="AO110:AP110"/>
    <mergeCell ref="AO111:AP111"/>
    <mergeCell ref="C107:E107"/>
    <mergeCell ref="G107:H107"/>
    <mergeCell ref="L107:N107"/>
    <mergeCell ref="P107:S107"/>
    <mergeCell ref="G108:H108"/>
    <mergeCell ref="L108:N108"/>
    <mergeCell ref="P108:S108"/>
    <mergeCell ref="C105:E105"/>
    <mergeCell ref="G105:H105"/>
    <mergeCell ref="L105:N105"/>
    <mergeCell ref="P105:S105"/>
    <mergeCell ref="C106:E106"/>
    <mergeCell ref="G106:H106"/>
    <mergeCell ref="L106:N106"/>
    <mergeCell ref="P106:S106"/>
    <mergeCell ref="C103:E103"/>
    <mergeCell ref="G103:H103"/>
    <mergeCell ref="L103:N103"/>
    <mergeCell ref="P103:S103"/>
    <mergeCell ref="C104:E104"/>
    <mergeCell ref="G104:H104"/>
    <mergeCell ref="L104:N104"/>
    <mergeCell ref="P104:S104"/>
    <mergeCell ref="C101:E101"/>
    <mergeCell ref="G101:H101"/>
    <mergeCell ref="L101:N101"/>
    <mergeCell ref="P101:S101"/>
    <mergeCell ref="C102:E102"/>
    <mergeCell ref="G102:H102"/>
    <mergeCell ref="L102:N102"/>
    <mergeCell ref="P102:S102"/>
    <mergeCell ref="C99:E99"/>
    <mergeCell ref="G99:H99"/>
    <mergeCell ref="L99:N99"/>
    <mergeCell ref="P99:S99"/>
    <mergeCell ref="C100:E100"/>
    <mergeCell ref="G100:H100"/>
    <mergeCell ref="L100:N100"/>
    <mergeCell ref="P100:S100"/>
    <mergeCell ref="C97:E97"/>
    <mergeCell ref="G97:H97"/>
    <mergeCell ref="L97:N97"/>
    <mergeCell ref="P97:S97"/>
    <mergeCell ref="C98:E98"/>
    <mergeCell ref="G98:H98"/>
    <mergeCell ref="L98:N98"/>
    <mergeCell ref="P98:S98"/>
    <mergeCell ref="C95:E95"/>
    <mergeCell ref="G95:H95"/>
    <mergeCell ref="L95:N95"/>
    <mergeCell ref="P95:S95"/>
    <mergeCell ref="C96:E96"/>
    <mergeCell ref="G96:H96"/>
    <mergeCell ref="L96:N96"/>
    <mergeCell ref="P96:S96"/>
    <mergeCell ref="C93:E93"/>
    <mergeCell ref="G93:H93"/>
    <mergeCell ref="L93:N93"/>
    <mergeCell ref="P93:S93"/>
    <mergeCell ref="C94:E94"/>
    <mergeCell ref="G94:H94"/>
    <mergeCell ref="L94:N94"/>
    <mergeCell ref="P94:S94"/>
    <mergeCell ref="C91:E91"/>
    <mergeCell ref="G91:H91"/>
    <mergeCell ref="L91:N91"/>
    <mergeCell ref="P91:S91"/>
    <mergeCell ref="C92:E92"/>
    <mergeCell ref="G92:H92"/>
    <mergeCell ref="L92:N92"/>
    <mergeCell ref="P92:S92"/>
    <mergeCell ref="C89:E89"/>
    <mergeCell ref="G89:H89"/>
    <mergeCell ref="L89:N89"/>
    <mergeCell ref="P89:S89"/>
    <mergeCell ref="C90:E90"/>
    <mergeCell ref="G90:H90"/>
    <mergeCell ref="L90:N90"/>
    <mergeCell ref="P90:S90"/>
    <mergeCell ref="C87:E87"/>
    <mergeCell ref="G87:H87"/>
    <mergeCell ref="L87:N87"/>
    <mergeCell ref="P87:S87"/>
    <mergeCell ref="C88:E88"/>
    <mergeCell ref="G88:H88"/>
    <mergeCell ref="L88:N88"/>
    <mergeCell ref="P88:S88"/>
    <mergeCell ref="C85:E85"/>
    <mergeCell ref="G85:H85"/>
    <mergeCell ref="L85:N85"/>
    <mergeCell ref="P85:S85"/>
    <mergeCell ref="C86:E86"/>
    <mergeCell ref="G86:H86"/>
    <mergeCell ref="L86:N86"/>
    <mergeCell ref="P86:S86"/>
    <mergeCell ref="P80:S82"/>
    <mergeCell ref="T80:T82"/>
    <mergeCell ref="K82:K84"/>
    <mergeCell ref="G83:H84"/>
    <mergeCell ref="I83:I84"/>
    <mergeCell ref="J83:J84"/>
    <mergeCell ref="L83:N84"/>
    <mergeCell ref="O83:O84"/>
    <mergeCell ref="P83:S84"/>
    <mergeCell ref="T83:T84"/>
    <mergeCell ref="G80:H82"/>
    <mergeCell ref="I80:I82"/>
    <mergeCell ref="J80:J82"/>
    <mergeCell ref="K80:K81"/>
    <mergeCell ref="L80:N82"/>
    <mergeCell ref="O80:O82"/>
    <mergeCell ref="C64:F64"/>
    <mergeCell ref="C70:E70"/>
    <mergeCell ref="C71:E71"/>
    <mergeCell ref="C76:F76"/>
    <mergeCell ref="C80:E84"/>
    <mergeCell ref="F80:F83"/>
    <mergeCell ref="C5:E7"/>
    <mergeCell ref="C23:E23"/>
    <mergeCell ref="C24:D24"/>
    <mergeCell ref="C25:D25"/>
    <mergeCell ref="C26:D26"/>
    <mergeCell ref="C62:F62"/>
  </mergeCells>
  <conditionalFormatting sqref="AH122">
    <cfRule type="colorScale" priority="17">
      <colorScale>
        <cfvo type="num" val="0"/>
        <cfvo type="num" val="1"/>
        <color rgb="FFFF0000"/>
        <color rgb="FF92D050"/>
      </colorScale>
    </cfRule>
  </conditionalFormatting>
  <conditionalFormatting sqref="AH123:AH138">
    <cfRule type="colorScale" priority="16">
      <colorScale>
        <cfvo type="num" val="0"/>
        <cfvo type="num" val="1"/>
        <color rgb="FFFF0000"/>
        <color rgb="FF92D050"/>
      </colorScale>
    </cfRule>
  </conditionalFormatting>
  <conditionalFormatting sqref="AH142:AH144">
    <cfRule type="colorScale" priority="15">
      <colorScale>
        <cfvo type="num" val="0"/>
        <cfvo type="num" val="1"/>
        <color rgb="FFFF0000"/>
        <color rgb="FF92D050"/>
      </colorScale>
    </cfRule>
  </conditionalFormatting>
  <conditionalFormatting sqref="C76">
    <cfRule type="expression" dxfId="12" priority="13">
      <formula>$G$76&gt;0</formula>
    </cfRule>
    <cfRule type="expression" dxfId="11" priority="14">
      <formula>$G$76&lt;0</formula>
    </cfRule>
  </conditionalFormatting>
  <conditionalFormatting sqref="O74:S74 AR74">
    <cfRule type="expression" dxfId="10" priority="12">
      <formula>O74&lt;O72</formula>
    </cfRule>
  </conditionalFormatting>
  <conditionalFormatting sqref="T74">
    <cfRule type="expression" dxfId="9" priority="11">
      <formula>T74&lt;T72</formula>
    </cfRule>
  </conditionalFormatting>
  <conditionalFormatting sqref="E16">
    <cfRule type="expression" dxfId="8" priority="10">
      <formula>$C$16=AL17</formula>
    </cfRule>
  </conditionalFormatting>
  <conditionalFormatting sqref="AH145:AH147">
    <cfRule type="colorScale" priority="9">
      <colorScale>
        <cfvo type="num" val="0"/>
        <cfvo type="num" val="1"/>
        <color rgb="FFFF0000"/>
        <color rgb="FF92D050"/>
      </colorScale>
    </cfRule>
  </conditionalFormatting>
  <conditionalFormatting sqref="AG148:AG153">
    <cfRule type="colorScale" priority="8">
      <colorScale>
        <cfvo type="min"/>
        <cfvo type="percentile" val="50"/>
        <cfvo type="max"/>
        <color rgb="FF63BE7B"/>
        <color rgb="FFFFEB84"/>
        <color rgb="FFF8696B"/>
      </colorScale>
    </cfRule>
  </conditionalFormatting>
  <conditionalFormatting sqref="AH148:AH153">
    <cfRule type="colorScale" priority="7">
      <colorScale>
        <cfvo type="min"/>
        <cfvo type="percentile" val="50"/>
        <cfvo type="max"/>
        <color rgb="FF63BE7B"/>
        <color rgb="FFFFEB84"/>
        <color rgb="FFF8696B"/>
      </colorScale>
    </cfRule>
  </conditionalFormatting>
  <conditionalFormatting sqref="AT125:AU137">
    <cfRule type="colorScale" priority="6">
      <colorScale>
        <cfvo type="min"/>
        <cfvo type="percentile" val="50"/>
        <cfvo type="max"/>
        <color rgb="FF63BE7B"/>
        <color rgb="FFFFEB84"/>
        <color rgb="FFF8696B"/>
      </colorScale>
    </cfRule>
  </conditionalFormatting>
  <conditionalFormatting sqref="AR122:AR147">
    <cfRule type="colorScale" priority="5">
      <colorScale>
        <cfvo type="min"/>
        <cfvo type="percentile" val="50"/>
        <cfvo type="max"/>
        <color rgb="FF63BE7B"/>
        <color rgb="FFFFEB84"/>
        <color rgb="FFF8696B"/>
      </colorScale>
    </cfRule>
  </conditionalFormatting>
  <conditionalFormatting sqref="E20">
    <cfRule type="expression" dxfId="7" priority="18">
      <formula>$C$16=$AL$18</formula>
    </cfRule>
  </conditionalFormatting>
  <conditionalFormatting sqref="E17">
    <cfRule type="expression" dxfId="6" priority="19">
      <formula>$C$16=$AL$18</formula>
    </cfRule>
  </conditionalFormatting>
  <conditionalFormatting sqref="E18">
    <cfRule type="expression" dxfId="5" priority="20">
      <formula>$C$16=$AL$19</formula>
    </cfRule>
  </conditionalFormatting>
  <conditionalFormatting sqref="E12 C64 F69:F75">
    <cfRule type="expression" dxfId="4" priority="21">
      <formula>$C$5=$AL$10</formula>
    </cfRule>
  </conditionalFormatting>
  <conditionalFormatting sqref="C21 C43 C35">
    <cfRule type="expression" dxfId="3" priority="22">
      <formula>$E$20=$AY$9</formula>
    </cfRule>
  </conditionalFormatting>
  <conditionalFormatting sqref="F8">
    <cfRule type="expression" dxfId="2" priority="23">
      <formula>$C$5=$AL$10</formula>
    </cfRule>
  </conditionalFormatting>
  <conditionalFormatting sqref="E9">
    <cfRule type="expression" dxfId="1" priority="24">
      <formula>$C$5=$AL$8</formula>
    </cfRule>
  </conditionalFormatting>
  <conditionalFormatting sqref="AR125:AS125">
    <cfRule type="cellIs" dxfId="0" priority="4" operator="between">
      <formula>-5</formula>
      <formula>-10</formula>
    </cfRule>
  </conditionalFormatting>
  <conditionalFormatting sqref="AM114">
    <cfRule type="colorScale" priority="3">
      <colorScale>
        <cfvo type="num" val="0"/>
        <cfvo type="num" val="1"/>
        <color rgb="FFFF0000"/>
        <color rgb="FF92D050"/>
      </colorScale>
    </cfRule>
  </conditionalFormatting>
  <conditionalFormatting sqref="AM119">
    <cfRule type="colorScale" priority="2">
      <colorScale>
        <cfvo type="num" val="0"/>
        <cfvo type="num" val="1"/>
        <color rgb="FFFF0000"/>
        <color rgb="FF92D050"/>
      </colorScale>
    </cfRule>
  </conditionalFormatting>
  <conditionalFormatting sqref="BS122:BS130">
    <cfRule type="colorScale" priority="1">
      <colorScale>
        <cfvo type="min"/>
        <cfvo type="percentile" val="50"/>
        <cfvo type="max"/>
        <color rgb="FF63BE7B"/>
        <color rgb="FFFFEB84"/>
        <color rgb="FFF8696B"/>
      </colorScale>
    </cfRule>
  </conditionalFormatting>
  <dataValidations count="5">
    <dataValidation type="list" allowBlank="1" showInputMessage="1" showErrorMessage="1" sqref="C16:D16" xr:uid="{789616C2-F93C-4355-A844-E6654B14F20B}">
      <formula1>$AL$17:$AL$19</formula1>
    </dataValidation>
    <dataValidation type="list" allowBlank="1" showInputMessage="1" showErrorMessage="1" sqref="C5" xr:uid="{CD341BFC-1D10-4CFC-A39F-13A716E942E3}">
      <formula1>$AL$8:$AL$10</formula1>
    </dataValidation>
    <dataValidation type="list" allowBlank="1" showInputMessage="1" showErrorMessage="1" sqref="E12" xr:uid="{5AD659A8-E159-49C7-983B-6D441DD0B9A9}">
      <formula1>$AX$8:$AX$9</formula1>
    </dataValidation>
    <dataValidation type="list" allowBlank="1" showInputMessage="1" showErrorMessage="1" sqref="E18 F69:F75 E20" xr:uid="{2480C032-9CD5-4560-8A49-8C1FCD1BD122}">
      <formula1>$AY$8:$AY$9</formula1>
    </dataValidation>
    <dataValidation type="list" allowBlank="1" showInputMessage="1" showErrorMessage="1" sqref="C64" xr:uid="{CC22E1C5-51F0-4FC8-9E3B-E631A7DFEEB3}">
      <formula1>$AP$65:$AP$66</formula1>
    </dataValidation>
  </dataValidations>
  <hyperlinks>
    <hyperlink ref="BD118" r:id="rId1" xr:uid="{F68D0040-421E-400D-AD9C-4990A741EB15}"/>
    <hyperlink ref="BD134" r:id="rId2" xr:uid="{82D1845B-9C82-41BE-B530-BC077E58345C}"/>
    <hyperlink ref="BT114" r:id="rId3" xr:uid="{0DB99CDA-6FB7-43D0-98A1-A4FE7388DE35}"/>
    <hyperlink ref="AS152" r:id="rId4" display="https://h2.live/fahren/_x000a_" xr:uid="{6AB0D1CC-6260-499C-B91A-7FF983530C22}"/>
    <hyperlink ref="AA123" r:id="rId5" display="https://oekobaudat.de/OEKOBAU.DAT/datasetdetail/process.xhtml?uuid=6167bec3-0bc2-425a-9c87-479fa310f8f2&amp;version=20.19.120&amp;stock=OBD_2021_II&amp;lang=de" xr:uid="{C9117A36-AF0B-4777-B7CB-2DEC125AC562}"/>
    <hyperlink ref="AA132" r:id="rId6" display="https://oekobaudat.de/OEKOBAU.DAT/datasetdetail/process.xhtml?uuid=04ec8cf9-da57-4201-8d4d-02071e7be09f&amp;version=20.19.120&amp;stock=OBD_2021_II&amp;lang=de" xr:uid="{27F46941-1D30-45BB-95A8-ECE304760758}"/>
    <hyperlink ref="AA133:AA138" r:id="rId7" display="https://oekobaudat.de/OEKOBAU.DAT/datasetdetail/process.xhtml?uuid=04ec8cf9-da57-4201-8d4d-02071e7be09f&amp;version=20.19.120&amp;stock=OBD_2021_II&amp;lang=de" xr:uid="{1FD1E606-43C9-4199-B4EC-75A7A91B20F5}"/>
    <hyperlink ref="AA131" r:id="rId8" display="https://oekobaudat.de/OEKOBAU.DAT/datasetdetail/process.xhtml?uuid=fb11f8ce-d3c7-4823-ba13-0c1f4a304799&amp;version=20.19.120&amp;stock=OBD_2021_II&amp;lang=de" xr:uid="{6B9F7EB8-E8BC-4454-8D34-7674BB1849D0}"/>
    <hyperlink ref="AA130" r:id="rId9" display="https://oekobaudat.de/OEKOBAU.DAT/datasetdetail/process.xhtml?uuid=fb11f8ce-d3c7-4823-ba13-0c1f4a304799&amp;version=20.19.120&amp;stock=OBD_2021_II&amp;lang=de" xr:uid="{992E3D32-489B-4CA4-9163-1F8120535B2F}"/>
    <hyperlink ref="AA124:AA128" r:id="rId10" display="https://oekobaudat.de/OEKOBAU.DAT/datasetdetail/process.xhtml?uuid=6167bec3-0bc2-425a-9c87-479fa310f8f2&amp;version=20.19.120&amp;stock=OBD_2021_II&amp;lang=de" xr:uid="{E2A8B950-D85A-4D5A-949E-D323C6077699}"/>
    <hyperlink ref="AA122" r:id="rId11" display="https://oekobaudat.de/OEKOBAU.DAT/datasetdetail/process.xhtml?uuid=63854c13-11d1-4f97-ad97-052ecd3e6e3d&amp;version=20.19.120&amp;stock=OBD_2021_II&amp;lang=de" xr:uid="{2CA26095-CF8D-4CBA-8C73-39893EF4C14A}"/>
    <hyperlink ref="AA129" r:id="rId12" display="https://oekobaudat.de/OEKOBAU.DAT/datasetdetail/process.xhtml?uuid=fb11f8ce-d3c7-4823-ba13-0c1f4a304799&amp;version=20.19.120&amp;stock=OBD_2021_II&amp;lang=de" xr:uid="{5137484C-946F-4499-89D2-323F9193D1F8}"/>
    <hyperlink ref="AB119" r:id="rId13" display="https://www.nachhaltigesbauen.de/fileadmin/pdf/QNG-BEG/Brosch%C3%BCre_QNG-Wohngeb%C3%A4ude_2021-12-01.pdf" xr:uid="{D517000E-2876-4FCA-94DC-5BABE8743922}"/>
    <hyperlink ref="Y121" r:id="rId14" display="https://www.gesetze-im-internet.de/ebev_2022/anlage_1.html" xr:uid="{28B7C774-BC4B-4877-9CA8-096531B85865}"/>
    <hyperlink ref="X121" r:id="rId15" display="https://www.gesetze-im-internet.de/geg/anlage_9.html" xr:uid="{D44793AF-4996-4FAA-A80E-6F2079401010}"/>
    <hyperlink ref="W121" r:id="rId16" display="http://iinas.org/gemis-dokumente.html" xr:uid="{01A4D8F4-1BFB-43A7-82F4-2B2AB02031D7}"/>
    <hyperlink ref="Z121" r:id="rId17" display="https://www.bafa.de/SharedDocs/Downloads/DE/Energie/eew_infoblatt_co2_faktoren_2021.pdf?__blob=publicationFile&amp;v=5" xr:uid="{6192F6C8-6412-490E-AA6D-5FC2683B77DF}"/>
    <hyperlink ref="AB114" r:id="rId18" display="VZ Studie 2021 " xr:uid="{4A891C9F-15D4-45DE-BB63-BC6E7BD63376}"/>
    <hyperlink ref="K160" r:id="rId19" display="Das &quot;Baum / Grün Rada&quot; https://land.copernicus.eu/pan-european/high-resolution-layers/forests/tree-cover-density/status-maps/tree-cover-density-2018" xr:uid="{2C53F3BD-FB18-4337-A3FD-7C5D0DEFBF5C}"/>
    <hyperlink ref="AT124" r:id="rId20" xr:uid="{B5EA4CA8-1496-454A-AF21-6E0F6DE9D398}"/>
    <hyperlink ref="AB115:AB116" r:id="rId21" display="Neukonzeption des Gebäudeenergiegesetzes (GEG 2.0) … CO2 -Preis bis 2030 auf  180 €, bis 2040 auf 346 €. " xr:uid="{CC131E4A-FDE8-45B0-8714-E45A8B1AA762}"/>
    <hyperlink ref="AA136" r:id="rId22" display="https://oekobaudat.de/OEKOBAU.DAT/datasetdetail/process.xhtml?uuid=04ec8cf9-da57-4201-8d4d-02071e7be09f&amp;version=20.19.120&amp;stock=OBD_2021_II&amp;lang=de" xr:uid="{3824836D-BA41-4ADE-BE9B-845FEDCADCE0}"/>
    <hyperlink ref="AA137" r:id="rId23" display="https://oekobaudat.de/OEKOBAU.DAT/datasetdetail/process.xhtml?uuid=04ec8cf9-da57-4201-8d4d-02071e7be09f&amp;version=20.19.120&amp;stock=OBD_2021_II&amp;lang=de" xr:uid="{4C76B049-A615-4F44-B015-FFC5C6173775}"/>
    <hyperlink ref="D110" r:id="rId24" xr:uid="{86AE63B4-4E4D-47E8-A2AC-94D84D794791}"/>
    <hyperlink ref="E140:F140" r:id="rId25" display="https://content.pv.de/?article_id=2&amp;clang=1&amp;pid=MitVBrlXKvfNWoFcEzTn" xr:uid="{3990B290-04EF-461A-975A-3F0BC540741D}"/>
    <hyperlink ref="O119" r:id="rId26" display="https://advantag.de/de/klimaschutz/eu-emissionshandel" xr:uid="{5CBA64D8-6707-47A4-85FF-685E8346A97E}"/>
  </hyperlinks>
  <printOptions verticalCentered="1"/>
  <pageMargins left="0" right="0" top="0.55118110236220474" bottom="0.19685039370078741" header="0" footer="0.31496062992125984"/>
  <pageSetup paperSize="9" scale="10" orientation="landscape" r:id="rId27"/>
  <drawing r:id="rId28"/>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übersicht</vt:lpstr>
      <vt:lpstr>übersicht!Print_Area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 Peters</dc:creator>
  <cp:lastModifiedBy>JP Peters</cp:lastModifiedBy>
  <dcterms:created xsi:type="dcterms:W3CDTF">2022-06-08T14:05:17Z</dcterms:created>
  <dcterms:modified xsi:type="dcterms:W3CDTF">2022-06-08T14:06:25Z</dcterms:modified>
</cp:coreProperties>
</file>