
<file path=[Content_Types].xml><?xml version="1.0" encoding="utf-8"?>
<Types xmlns="http://schemas.openxmlformats.org/package/2006/content-types">
  <Default Extension="bin" ContentType="application/vnd.openxmlformats-officedocument.spreadsheetml.printerSettings"/>
  <Default Extension="glb" ContentType="model/gltf.binary"/>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mc:AlternateContent xmlns:mc="http://schemas.openxmlformats.org/markup-compatibility/2006">
    <mc:Choice Requires="x15">
      <x15ac:absPath xmlns:x15ac="http://schemas.microsoft.com/office/spreadsheetml/2010/11/ac" url="C:\Users\ingbu\Downloads\"/>
    </mc:Choice>
  </mc:AlternateContent>
  <xr:revisionPtr revIDLastSave="0" documentId="13_ncr:1_{7FDB26A5-F47B-4754-A5C5-0656DF9EDF3F}" xr6:coauthVersionLast="47" xr6:coauthVersionMax="47" xr10:uidLastSave="{00000000-0000-0000-0000-000000000000}"/>
  <bookViews>
    <workbookView xWindow="-96" yWindow="-96" windowWidth="23232" windowHeight="12432" xr2:uid="{00000000-000D-0000-FFFF-FFFF00000000}"/>
  </bookViews>
  <sheets>
    <sheet name="übersicht)" sheetId="19" r:id="rId1"/>
    <sheet name="Verschlechterungsverbot" sheetId="3" r:id="rId2"/>
    <sheet name="Übersicht Förderungen Heizung" sheetId="4" r:id="rId3"/>
    <sheet name="Heizlast Bestand" sheetId="9" r:id="rId4"/>
    <sheet name="U-Wert vereinfacht" sheetId="6" r:id="rId5"/>
  </sheets>
  <externalReferences>
    <externalReference r:id="rId6"/>
    <externalReference r:id="rId7"/>
    <externalReference r:id="rId8"/>
    <externalReference r:id="rId9"/>
    <externalReference r:id="rId10"/>
  </externalReferences>
  <definedNames>
    <definedName name="Country">[1]diverse!$F$4:$F$32</definedName>
    <definedName name="em_1" localSheetId="3">OFFSET(#REF!,0,0,1,COUNTA(#REF!))</definedName>
    <definedName name="em_1" localSheetId="0">OFFSET(#REF!,0,0,1,COUNTA(#REF!))</definedName>
    <definedName name="em_1">OFFSET(#REF!,0,0,1,COUNTA(#REF!))</definedName>
    <definedName name="em_2" localSheetId="3">OFFSET(#REF!,0,0,1,COUNTA(#REF!))</definedName>
    <definedName name="em_2" localSheetId="0">OFFSET(#REF!,0,0,1,COUNTA(#REF!))</definedName>
    <definedName name="em_2">OFFSET(#REF!,0,0,1,COUNTA(#REF!))</definedName>
    <definedName name="em_3" localSheetId="3">OFFSET(#REF!,0,0,1,COUNTA(#REF!))</definedName>
    <definedName name="em_3" localSheetId="0">OFFSET(#REF!,0,0,1,COUNTA(#REF!))</definedName>
    <definedName name="em_3">OFFSET(#REF!,0,0,1,COUNTA(#REF!))</definedName>
    <definedName name="em_4" localSheetId="3">OFFSET(#REF!,0,0,1,COUNTA(#REF!))</definedName>
    <definedName name="em_4" localSheetId="0">OFFSET(#REF!,0,0,1,COUNTA(#REF!))</definedName>
    <definedName name="em_4">OFFSET(#REF!,0,0,1,COUNTA(#REF!))</definedName>
    <definedName name="em_5" localSheetId="3">OFFSET(#REF!,0,0,1,COUNTA(#REF!))</definedName>
    <definedName name="em_5" localSheetId="0">OFFSET(#REF!,0,0,1,COUNTA(#REF!))</definedName>
    <definedName name="em_5">OFFSET(#REF!,0,0,1,COUNTA(#REF!))</definedName>
    <definedName name="em_6" localSheetId="3">OFFSET(#REF!,0,0,1,COUNTA(#REF!))</definedName>
    <definedName name="em_6" localSheetId="0">OFFSET(#REF!,0,0,1,COUNTA(#REF!))</definedName>
    <definedName name="em_6">OFFSET(#REF!,0,0,1,COUNTA(#REF!))</definedName>
    <definedName name="emission_factor" localSheetId="3">#REF!</definedName>
    <definedName name="emission_factor" localSheetId="0">#REF!</definedName>
    <definedName name="emission_factor">#REF!</definedName>
    <definedName name="energy_type" localSheetId="3">#REF!</definedName>
    <definedName name="energy_type" localSheetId="0">#REF!</definedName>
    <definedName name="energy_type">#REF!</definedName>
    <definedName name="energy_unit" localSheetId="3">#REF!</definedName>
    <definedName name="energy_unit" localSheetId="0">#REF!</definedName>
    <definedName name="energy_unit">#REF!</definedName>
    <definedName name="HTML_CodePage" hidden="1">1252</definedName>
    <definedName name="HTML_Control" localSheetId="0" hidden="1">{"'Verkehr-Personen'!$A$5:$J$26"}</definedName>
    <definedName name="HTML_Control" hidden="1">{"'Verkehr-Personen'!$A$5:$J$26"}</definedName>
    <definedName name="HTML_Description" hidden="1">""</definedName>
    <definedName name="HTML_Email" hidden="1">""</definedName>
    <definedName name="HTML_Header" hidden="1">"Verkehr-Personen"</definedName>
    <definedName name="HTML_LastUpdate" hidden="1">"08-11-00"</definedName>
    <definedName name="HTML_LineAfter" hidden="1">FALSE</definedName>
    <definedName name="HTML_LineBefore" hidden="1">FALSE</definedName>
    <definedName name="HTML_Name" hidden="1">"Uwe R. Fritsche"</definedName>
    <definedName name="HTML_OBDlg2" hidden="1">TRUE</definedName>
    <definedName name="HTML_OBDlg4" hidden="1">TRUE</definedName>
    <definedName name="HTML_OS" hidden="1">0</definedName>
    <definedName name="HTML_PathFile" hidden="1">"D:\Archiv\G4-results Verkehr-P.htm"</definedName>
    <definedName name="HTML_Title" hidden="1">"G4-ergebnisse"</definedName>
    <definedName name="Indicator_Type_AssignStationToPostcode">[2]UserForm!$AI$12</definedName>
    <definedName name="Indicator_Type_LocationBuilding">[2]UserForm!$AI$10</definedName>
    <definedName name="Klimadaten_aktuell">'[3]Standardwerte Klima'!$N$1:$O$26</definedName>
    <definedName name="lcc_1" localSheetId="3">OFFSET(#REF!,0,0,1,COUNTA(#REF!))</definedName>
    <definedName name="lcc_1" localSheetId="0">OFFSET(#REF!,0,0,1,COUNTA(#REF!))</definedName>
    <definedName name="lcc_1">OFFSET(#REF!,0,0,1,COUNTA(#REF!))</definedName>
    <definedName name="lcc_annual_aquisition" localSheetId="3">OFFSET(#REF!,0,0,1,COUNTA(#REF!))</definedName>
    <definedName name="lcc_annual_aquisition" localSheetId="0">OFFSET(#REF!,0,0,1,COUNTA(#REF!))</definedName>
    <definedName name="lcc_annual_aquisition">OFFSET(#REF!,0,0,1,COUNTA(#REF!))</definedName>
    <definedName name="lcc_annual_maintenance" localSheetId="3">OFFSET(#REF!,0,0,1,COUNTA(#REF!))</definedName>
    <definedName name="lcc_annual_maintenance" localSheetId="0">OFFSET(#REF!,0,0,1,COUNTA(#REF!))</definedName>
    <definedName name="lcc_annual_maintenance">OFFSET(#REF!,0,0,1,COUNTA(#REF!))</definedName>
    <definedName name="lcc_annual_operation" localSheetId="3">OFFSET(#REF!,0,0,1,COUNTA(#REF!))</definedName>
    <definedName name="lcc_annual_operation" localSheetId="0">OFFSET(#REF!,0,0,1,COUNTA(#REF!))</definedName>
    <definedName name="lcc_annual_operation">OFFSET(#REF!,0,0,1,COUNTA(#REF!))</definedName>
    <definedName name="lcc_annual_othercosts" localSheetId="3">OFFSET(#REF!,0,0,1,COUNTA(#REF!))</definedName>
    <definedName name="lcc_annual_othercosts" localSheetId="0">OFFSET(#REF!,0,0,1,COUNTA(#REF!))</definedName>
    <definedName name="lcc_annual_othercosts">OFFSET(#REF!,0,0,1,COUNTA(#REF!))</definedName>
    <definedName name="lcc_annual_remnant" localSheetId="3">OFFSET(#REF!,0,0,1,COUNTA(#REF!))</definedName>
    <definedName name="lcc_annual_remnant" localSheetId="0">OFFSET(#REF!,0,0,1,COUNTA(#REF!))</definedName>
    <definedName name="lcc_annual_remnant">OFFSET(#REF!,0,0,1,COUNTA(#REF!))</definedName>
    <definedName name="lcc_usage_aquisition" localSheetId="3">OFFSET(#REF!,0,0,1,COUNTA(#REF!))</definedName>
    <definedName name="lcc_usage_aquisition" localSheetId="0">OFFSET(#REF!,0,0,1,COUNTA(#REF!))</definedName>
    <definedName name="lcc_usage_aquisition">OFFSET(#REF!,0,0,1,COUNTA(#REF!))</definedName>
    <definedName name="lcc_usage_maintenance" localSheetId="3">OFFSET(#REF!,0,0,1,COUNTA(#REF!))</definedName>
    <definedName name="lcc_usage_maintenance" localSheetId="0">OFFSET(#REF!,0,0,1,COUNTA(#REF!))</definedName>
    <definedName name="lcc_usage_maintenance">OFFSET(#REF!,0,0,1,COUNTA(#REF!))</definedName>
    <definedName name="lcc_usage_operation" localSheetId="3">OFFSET(#REF!,0,0,1,COUNTA(#REF!))</definedName>
    <definedName name="lcc_usage_operation" localSheetId="0">OFFSET(#REF!,0,0,1,COUNTA(#REF!))</definedName>
    <definedName name="lcc_usage_operation">OFFSET(#REF!,0,0,1,COUNTA(#REF!))</definedName>
    <definedName name="lcc_usage_othercosts" localSheetId="3">OFFSET(#REF!,0,0,1,COUNTA(#REF!))</definedName>
    <definedName name="lcc_usage_othercosts" localSheetId="0">OFFSET(#REF!,0,0,1,COUNTA(#REF!))</definedName>
    <definedName name="lcc_usage_othercosts">OFFSET(#REF!,0,0,1,COUNTA(#REF!))</definedName>
    <definedName name="lcc_usage_remnant" localSheetId="3">OFFSET(#REF!,0,0,1,COUNTA(#REF!))</definedName>
    <definedName name="lcc_usage_remnant" localSheetId="0">OFFSET(#REF!,0,0,1,COUNTA(#REF!))</definedName>
    <definedName name="lcc_usage_remnant">OFFSET(#REF!,0,0,1,COUNTA(#REF!))</definedName>
    <definedName name="motorraf" localSheetId="0" hidden="1">{"'Verkehr-Personen'!$A$5:$J$26"}</definedName>
    <definedName name="motorraf" hidden="1">{"'Verkehr-Personen'!$A$5:$J$26"}</definedName>
    <definedName name="offer_id" localSheetId="3">OFFSET(#REF!,0,0,1,COUNTA(#REF!))</definedName>
    <definedName name="offer_id" localSheetId="0">OFFSET(#REF!,0,0,1,COUNTA(#REF!))</definedName>
    <definedName name="offer_id">OFFSET(#REF!,0,0,1,COUNTA(#REF!))</definedName>
    <definedName name="Print_Area" localSheetId="0">'übersicht)'!$P$78:$AP$122,'übersicht)'!$C$81:$P$122</definedName>
    <definedName name="Products">[1]diverse!$J$5:$J$20</definedName>
    <definedName name="t" localSheetId="0" hidden="1">{"'Verkehr-Personen'!$A$5:$J$26"}</definedName>
    <definedName name="t" hidden="1">{"'Verkehr-Personen'!$A$5:$J$26"}</definedName>
    <definedName name="TextField_Temperature_HDD_Base">#REF!</definedName>
    <definedName name="Timerange">[1]diverse!$M$4:$M$29</definedName>
    <definedName name="Verkehr2" localSheetId="0" hidden="1">{"'Verkehr-Personen'!$A$5:$J$26"}</definedName>
    <definedName name="Verkehr2" hidden="1">{"'Verkehr-Personen'!$A$5:$J$26"}</definedName>
    <definedName name="VerkehrPkwKlassen" localSheetId="0" hidden="1">{"'Verkehr-Personen'!$A$5:$J$26"}</definedName>
    <definedName name="VerkehrPkwKlassen" hidden="1">{"'Verkehr-Personen'!$A$5:$J$26"}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R162" i="19" l="1"/>
  <c r="BQ162" i="19"/>
  <c r="BL162" i="19"/>
  <c r="BJ162" i="19"/>
  <c r="BI162" i="19"/>
  <c r="BD162" i="19"/>
  <c r="BB162" i="19"/>
  <c r="BA162" i="19"/>
  <c r="AY162" i="19"/>
  <c r="BS162" i="19" s="1"/>
  <c r="BS161" i="19"/>
  <c r="BR161" i="19"/>
  <c r="BQ161" i="19"/>
  <c r="BP161" i="19"/>
  <c r="BO161" i="19"/>
  <c r="BN161" i="19"/>
  <c r="BM161" i="19"/>
  <c r="BL161" i="19"/>
  <c r="BK161" i="19"/>
  <c r="BJ161" i="19"/>
  <c r="BI161" i="19"/>
  <c r="BH161" i="19"/>
  <c r="BG161" i="19"/>
  <c r="BF161" i="19"/>
  <c r="BE161" i="19"/>
  <c r="BD161" i="19"/>
  <c r="BC161" i="19"/>
  <c r="BB161" i="19"/>
  <c r="BA161" i="19"/>
  <c r="AZ161" i="19"/>
  <c r="BS160" i="19"/>
  <c r="BR160" i="19"/>
  <c r="BP160" i="19"/>
  <c r="BQ160" i="19" s="1"/>
  <c r="BO160" i="19"/>
  <c r="BN160" i="19"/>
  <c r="BM160" i="19"/>
  <c r="BL160" i="19"/>
  <c r="BK160" i="19"/>
  <c r="BJ160" i="19"/>
  <c r="BH160" i="19"/>
  <c r="BI160" i="19" s="1"/>
  <c r="BG160" i="19"/>
  <c r="BF160" i="19"/>
  <c r="BE160" i="19"/>
  <c r="BD160" i="19"/>
  <c r="BC160" i="19"/>
  <c r="BB160" i="19"/>
  <c r="AZ160" i="19"/>
  <c r="BA160" i="19" s="1"/>
  <c r="BS159" i="19"/>
  <c r="BR159" i="19"/>
  <c r="BQ159" i="19"/>
  <c r="BP159" i="19"/>
  <c r="BO159" i="19"/>
  <c r="BN159" i="19"/>
  <c r="BL159" i="19"/>
  <c r="BM159" i="19" s="1"/>
  <c r="BK159" i="19"/>
  <c r="BJ159" i="19"/>
  <c r="BI159" i="19"/>
  <c r="BH159" i="19"/>
  <c r="BG159" i="19"/>
  <c r="BF159" i="19"/>
  <c r="BD159" i="19"/>
  <c r="BE159" i="19" s="1"/>
  <c r="BC159" i="19"/>
  <c r="BB159" i="19"/>
  <c r="BA159" i="19"/>
  <c r="AZ159" i="19"/>
  <c r="BS156" i="19"/>
  <c r="BR156" i="19"/>
  <c r="BM156" i="19"/>
  <c r="BK156" i="19"/>
  <c r="BJ156" i="19"/>
  <c r="BE156" i="19"/>
  <c r="BC156" i="19"/>
  <c r="BB156" i="19"/>
  <c r="AY156" i="19"/>
  <c r="BL156" i="19" s="1"/>
  <c r="BS155" i="19"/>
  <c r="BR155" i="19"/>
  <c r="BQ155" i="19"/>
  <c r="BP155" i="19"/>
  <c r="BO155" i="19"/>
  <c r="BN155" i="19"/>
  <c r="BM155" i="19"/>
  <c r="BL155" i="19"/>
  <c r="BK155" i="19"/>
  <c r="BJ155" i="19"/>
  <c r="BI155" i="19"/>
  <c r="BH155" i="19"/>
  <c r="BG155" i="19"/>
  <c r="BF155" i="19"/>
  <c r="BE155" i="19"/>
  <c r="BD155" i="19"/>
  <c r="BC155" i="19"/>
  <c r="BB155" i="19"/>
  <c r="BA155" i="19"/>
  <c r="AZ155" i="19"/>
  <c r="BS154" i="19"/>
  <c r="BR154" i="19"/>
  <c r="BP154" i="19"/>
  <c r="BQ154" i="19" s="1"/>
  <c r="BN154" i="19"/>
  <c r="BO154" i="19" s="1"/>
  <c r="BL154" i="19"/>
  <c r="BM154" i="19" s="1"/>
  <c r="BK154" i="19"/>
  <c r="BJ154" i="19"/>
  <c r="BH154" i="19"/>
  <c r="BI154" i="19" s="1"/>
  <c r="BF154" i="19"/>
  <c r="BG154" i="19" s="1"/>
  <c r="BD154" i="19"/>
  <c r="BE154" i="19" s="1"/>
  <c r="BC154" i="19"/>
  <c r="BB154" i="19"/>
  <c r="AZ154" i="19"/>
  <c r="BA154" i="19" s="1"/>
  <c r="BR153" i="19"/>
  <c r="BS153" i="19" s="1"/>
  <c r="BP153" i="19"/>
  <c r="BQ153" i="19" s="1"/>
  <c r="BO153" i="19"/>
  <c r="BN153" i="19"/>
  <c r="BL153" i="19"/>
  <c r="BM153" i="19" s="1"/>
  <c r="BJ153" i="19"/>
  <c r="BK153" i="19" s="1"/>
  <c r="BH153" i="19"/>
  <c r="BI153" i="19" s="1"/>
  <c r="BG153" i="19"/>
  <c r="BF153" i="19"/>
  <c r="BD153" i="19"/>
  <c r="BE153" i="19" s="1"/>
  <c r="BB153" i="19"/>
  <c r="BC153" i="19" s="1"/>
  <c r="AZ153" i="19"/>
  <c r="BA153" i="19" s="1"/>
  <c r="BS150" i="19"/>
  <c r="BQ150" i="19"/>
  <c r="BP150" i="19"/>
  <c r="BN150" i="19"/>
  <c r="BM150" i="19"/>
  <c r="BL150" i="19"/>
  <c r="BK150" i="19"/>
  <c r="BI150" i="19"/>
  <c r="BH150" i="19"/>
  <c r="BF150" i="19"/>
  <c r="BE150" i="19"/>
  <c r="BD150" i="19"/>
  <c r="BC150" i="19"/>
  <c r="BA150" i="19"/>
  <c r="AZ150" i="19"/>
  <c r="AY150" i="19"/>
  <c r="BR150" i="19" s="1"/>
  <c r="BS149" i="19"/>
  <c r="BR149" i="19"/>
  <c r="BQ149" i="19"/>
  <c r="BP149" i="19"/>
  <c r="BO149" i="19"/>
  <c r="BN149" i="19"/>
  <c r="BM149" i="19"/>
  <c r="BL149" i="19"/>
  <c r="BK149" i="19"/>
  <c r="BJ149" i="19"/>
  <c r="BI149" i="19"/>
  <c r="BH149" i="19"/>
  <c r="BG149" i="19"/>
  <c r="BF149" i="19"/>
  <c r="BE149" i="19"/>
  <c r="BD149" i="19"/>
  <c r="BC149" i="19"/>
  <c r="BB149" i="19"/>
  <c r="BA149" i="19"/>
  <c r="AZ149" i="19"/>
  <c r="BR148" i="19"/>
  <c r="BS148" i="19" s="1"/>
  <c r="BQ148" i="19"/>
  <c r="BP148" i="19"/>
  <c r="BO148" i="19"/>
  <c r="BN148" i="19"/>
  <c r="BM148" i="19"/>
  <c r="BL148" i="19"/>
  <c r="BJ148" i="19"/>
  <c r="BK148" i="19" s="1"/>
  <c r="BI148" i="19"/>
  <c r="BH148" i="19"/>
  <c r="BG148" i="19"/>
  <c r="BF148" i="19"/>
  <c r="BE148" i="19"/>
  <c r="BD148" i="19"/>
  <c r="BB148" i="19"/>
  <c r="BC148" i="19" s="1"/>
  <c r="BA148" i="19"/>
  <c r="AZ148" i="19"/>
  <c r="BS146" i="19"/>
  <c r="BR146" i="19"/>
  <c r="BQ146" i="19"/>
  <c r="BP146" i="19"/>
  <c r="BN146" i="19"/>
  <c r="BO146" i="19" s="1"/>
  <c r="BM146" i="19"/>
  <c r="BL146" i="19"/>
  <c r="BK146" i="19"/>
  <c r="BJ146" i="19"/>
  <c r="BI146" i="19"/>
  <c r="BH146" i="19"/>
  <c r="BF146" i="19"/>
  <c r="BG146" i="19" s="1"/>
  <c r="BE146" i="19"/>
  <c r="BD146" i="19"/>
  <c r="BC146" i="19"/>
  <c r="BB146" i="19"/>
  <c r="BA146" i="19"/>
  <c r="AZ146" i="19"/>
  <c r="AY143" i="19"/>
  <c r="BN143" i="19" s="1"/>
  <c r="BS142" i="19"/>
  <c r="BR142" i="19"/>
  <c r="BQ142" i="19"/>
  <c r="BP142" i="19"/>
  <c r="BO142" i="19"/>
  <c r="BN142" i="19"/>
  <c r="BM142" i="19"/>
  <c r="BL142" i="19"/>
  <c r="BK142" i="19"/>
  <c r="BJ142" i="19"/>
  <c r="BI142" i="19"/>
  <c r="BH142" i="19"/>
  <c r="BG142" i="19"/>
  <c r="BF142" i="19"/>
  <c r="BE142" i="19"/>
  <c r="BD142" i="19"/>
  <c r="BC142" i="19"/>
  <c r="BB142" i="19"/>
  <c r="BA142" i="19"/>
  <c r="AZ142" i="19"/>
  <c r="BR141" i="19"/>
  <c r="BS141" i="19" s="1"/>
  <c r="BP141" i="19"/>
  <c r="BQ141" i="19" s="1"/>
  <c r="BN141" i="19"/>
  <c r="BO141" i="19" s="1"/>
  <c r="BM141" i="19"/>
  <c r="BL141" i="19"/>
  <c r="BJ141" i="19"/>
  <c r="BK141" i="19" s="1"/>
  <c r="BH141" i="19"/>
  <c r="BI141" i="19" s="1"/>
  <c r="BF141" i="19"/>
  <c r="BG141" i="19" s="1"/>
  <c r="BE141" i="19"/>
  <c r="BD141" i="19"/>
  <c r="BB141" i="19"/>
  <c r="BC141" i="19" s="1"/>
  <c r="BA141" i="19"/>
  <c r="AZ141" i="19"/>
  <c r="BR140" i="19"/>
  <c r="BS140" i="19" s="1"/>
  <c r="BQ140" i="19"/>
  <c r="BP140" i="19"/>
  <c r="BN140" i="19"/>
  <c r="BO140" i="19" s="1"/>
  <c r="BL140" i="19"/>
  <c r="BM140" i="19" s="1"/>
  <c r="BJ140" i="19"/>
  <c r="BK140" i="19" s="1"/>
  <c r="BI140" i="19"/>
  <c r="BH140" i="19"/>
  <c r="BF140" i="19"/>
  <c r="BG140" i="19" s="1"/>
  <c r="BD140" i="19"/>
  <c r="BE140" i="19" s="1"/>
  <c r="BB140" i="19"/>
  <c r="BC140" i="19" s="1"/>
  <c r="BA140" i="19"/>
  <c r="AZ140" i="19"/>
  <c r="BR137" i="19"/>
  <c r="BP137" i="19"/>
  <c r="BN137" i="19"/>
  <c r="BM137" i="19"/>
  <c r="BJ137" i="19"/>
  <c r="BH137" i="19"/>
  <c r="BF137" i="19"/>
  <c r="BE137" i="19"/>
  <c r="BB137" i="19"/>
  <c r="AZ137" i="19"/>
  <c r="AY137" i="19"/>
  <c r="BO137" i="19" s="1"/>
  <c r="BS136" i="19"/>
  <c r="BR136" i="19"/>
  <c r="BQ136" i="19"/>
  <c r="BP136" i="19"/>
  <c r="BO136" i="19"/>
  <c r="BN136" i="19"/>
  <c r="BM136" i="19"/>
  <c r="BL136" i="19"/>
  <c r="BK136" i="19"/>
  <c r="BJ136" i="19"/>
  <c r="BI136" i="19"/>
  <c r="BH136" i="19"/>
  <c r="BG136" i="19"/>
  <c r="BF136" i="19"/>
  <c r="BE136" i="19"/>
  <c r="BD136" i="19"/>
  <c r="BC136" i="19"/>
  <c r="BB136" i="19"/>
  <c r="BA136" i="19"/>
  <c r="AZ136" i="19"/>
  <c r="BS135" i="19"/>
  <c r="BR135" i="19"/>
  <c r="BQ135" i="19"/>
  <c r="BP135" i="19"/>
  <c r="BN135" i="19"/>
  <c r="BO135" i="19" s="1"/>
  <c r="BL135" i="19"/>
  <c r="BM135" i="19" s="1"/>
  <c r="BK135" i="19"/>
  <c r="BJ135" i="19"/>
  <c r="BI135" i="19"/>
  <c r="BH135" i="19"/>
  <c r="BF135" i="19"/>
  <c r="BG135" i="19" s="1"/>
  <c r="BD135" i="19"/>
  <c r="BE135" i="19" s="1"/>
  <c r="BC135" i="19"/>
  <c r="BB135" i="19"/>
  <c r="BA135" i="19"/>
  <c r="AZ135" i="19"/>
  <c r="BR134" i="19"/>
  <c r="BS134" i="19" s="1"/>
  <c r="BP134" i="19"/>
  <c r="BQ134" i="19" s="1"/>
  <c r="BO134" i="19"/>
  <c r="BN134" i="19"/>
  <c r="BM134" i="19"/>
  <c r="BL134" i="19"/>
  <c r="BJ134" i="19"/>
  <c r="BK134" i="19" s="1"/>
  <c r="BH134" i="19"/>
  <c r="BI134" i="19" s="1"/>
  <c r="BG134" i="19"/>
  <c r="BF134" i="19"/>
  <c r="BE134" i="19"/>
  <c r="BD134" i="19"/>
  <c r="BB134" i="19"/>
  <c r="BC134" i="19" s="1"/>
  <c r="BA134" i="19"/>
  <c r="AZ134" i="19"/>
  <c r="BQ131" i="19"/>
  <c r="BN131" i="19"/>
  <c r="BI131" i="19"/>
  <c r="BF131" i="19"/>
  <c r="BA131" i="19"/>
  <c r="AY131" i="19"/>
  <c r="BP131" i="19" s="1"/>
  <c r="BS130" i="19"/>
  <c r="BR130" i="19"/>
  <c r="BQ130" i="19"/>
  <c r="BP130" i="19"/>
  <c r="BO130" i="19"/>
  <c r="BN130" i="19"/>
  <c r="BM130" i="19"/>
  <c r="BL130" i="19"/>
  <c r="BK130" i="19"/>
  <c r="BJ130" i="19"/>
  <c r="BI130" i="19"/>
  <c r="BH130" i="19"/>
  <c r="BG130" i="19"/>
  <c r="BF130" i="19"/>
  <c r="BE130" i="19"/>
  <c r="BD130" i="19"/>
  <c r="BC130" i="19"/>
  <c r="BB130" i="19"/>
  <c r="BA130" i="19"/>
  <c r="AZ130" i="19"/>
  <c r="BR129" i="19"/>
  <c r="BS129" i="19" s="1"/>
  <c r="BP129" i="19"/>
  <c r="BQ129" i="19" s="1"/>
  <c r="BO129" i="19"/>
  <c r="BN129" i="19"/>
  <c r="BL129" i="19"/>
  <c r="BM129" i="19" s="1"/>
  <c r="BJ129" i="19"/>
  <c r="BK129" i="19" s="1"/>
  <c r="BH129" i="19"/>
  <c r="BI129" i="19" s="1"/>
  <c r="BG129" i="19"/>
  <c r="BF129" i="19"/>
  <c r="BD129" i="19"/>
  <c r="BE129" i="19" s="1"/>
  <c r="BC129" i="19"/>
  <c r="BB129" i="19"/>
  <c r="BA129" i="19"/>
  <c r="AZ129" i="19"/>
  <c r="BS128" i="19"/>
  <c r="BR128" i="19"/>
  <c r="BP128" i="19"/>
  <c r="BQ128" i="19" s="1"/>
  <c r="BN128" i="19"/>
  <c r="BO128" i="19" s="1"/>
  <c r="BL128" i="19"/>
  <c r="BM128" i="19" s="1"/>
  <c r="BK128" i="19"/>
  <c r="BJ128" i="19"/>
  <c r="BH128" i="19"/>
  <c r="BI128" i="19" s="1"/>
  <c r="BF128" i="19"/>
  <c r="BG128" i="19" s="1"/>
  <c r="BD128" i="19"/>
  <c r="BE128" i="19" s="1"/>
  <c r="BC128" i="19"/>
  <c r="BB128" i="19"/>
  <c r="BA128" i="19"/>
  <c r="AZ128" i="19"/>
  <c r="BA127" i="19"/>
  <c r="G125" i="19"/>
  <c r="I126" i="19" s="1"/>
  <c r="I127" i="19" s="1"/>
  <c r="J124" i="19"/>
  <c r="G124" i="19"/>
  <c r="AC114" i="19"/>
  <c r="P114" i="19"/>
  <c r="S113" i="19"/>
  <c r="AE112" i="19"/>
  <c r="P112" i="19"/>
  <c r="AF112" i="19" s="1"/>
  <c r="E112" i="19"/>
  <c r="S111" i="19"/>
  <c r="M111" i="19"/>
  <c r="W114" i="19" s="1"/>
  <c r="K111" i="19"/>
  <c r="E111" i="19"/>
  <c r="AC110" i="19"/>
  <c r="W110" i="19"/>
  <c r="S110" i="19"/>
  <c r="P110" i="19"/>
  <c r="X110" i="19" s="1"/>
  <c r="M110" i="19"/>
  <c r="N110" i="19" s="1"/>
  <c r="E110" i="19"/>
  <c r="AE109" i="19"/>
  <c r="P109" i="19"/>
  <c r="AF109" i="19" s="1"/>
  <c r="AJ109" i="19" s="1"/>
  <c r="M109" i="19"/>
  <c r="P111" i="19" s="1"/>
  <c r="E109" i="19"/>
  <c r="AE108" i="19"/>
  <c r="AA108" i="19"/>
  <c r="P108" i="19"/>
  <c r="AH107" i="19"/>
  <c r="AI107" i="19" s="1"/>
  <c r="AA107" i="19"/>
  <c r="P107" i="19"/>
  <c r="M107" i="19"/>
  <c r="L107" i="19"/>
  <c r="AI106" i="19"/>
  <c r="AH106" i="19"/>
  <c r="AE106" i="19"/>
  <c r="AA106" i="19"/>
  <c r="Y106" i="19"/>
  <c r="V106" i="19"/>
  <c r="P106" i="19"/>
  <c r="AC106" i="19" s="1"/>
  <c r="M106" i="19"/>
  <c r="AK105" i="19"/>
  <c r="AH105" i="19"/>
  <c r="AI105" i="19" s="1"/>
  <c r="AC105" i="19"/>
  <c r="AA105" i="19"/>
  <c r="V105" i="19"/>
  <c r="P105" i="19"/>
  <c r="M105" i="19"/>
  <c r="L105" i="19"/>
  <c r="K105" i="19"/>
  <c r="AK104" i="19"/>
  <c r="AH104" i="19"/>
  <c r="AI104" i="19" s="1"/>
  <c r="AA104" i="19"/>
  <c r="Y104" i="19"/>
  <c r="V104" i="19"/>
  <c r="P104" i="19"/>
  <c r="W104" i="19" s="1"/>
  <c r="L104" i="19"/>
  <c r="K104" i="19"/>
  <c r="AI103" i="19"/>
  <c r="AH103" i="19"/>
  <c r="AC103" i="19"/>
  <c r="AA103" i="19"/>
  <c r="W103" i="19"/>
  <c r="V103" i="19"/>
  <c r="AK102" i="19"/>
  <c r="AH102" i="19"/>
  <c r="AI102" i="19" s="1"/>
  <c r="AC102" i="19"/>
  <c r="AA102" i="19"/>
  <c r="W102" i="19"/>
  <c r="V102" i="19"/>
  <c r="P102" i="19"/>
  <c r="AE102" i="19" s="1"/>
  <c r="AK101" i="19"/>
  <c r="AI101" i="19"/>
  <c r="AH101" i="19"/>
  <c r="AE101" i="19"/>
  <c r="AC101" i="19"/>
  <c r="AA101" i="19"/>
  <c r="W101" i="19"/>
  <c r="V101" i="19"/>
  <c r="P101" i="19"/>
  <c r="AK100" i="19"/>
  <c r="AI100" i="19"/>
  <c r="AH100" i="19"/>
  <c r="AA100" i="19"/>
  <c r="Y100" i="19"/>
  <c r="V100" i="19"/>
  <c r="P100" i="19"/>
  <c r="W100" i="19" s="1"/>
  <c r="AK99" i="19"/>
  <c r="AI99" i="19"/>
  <c r="AH99" i="19"/>
  <c r="AE99" i="19"/>
  <c r="AC99" i="19"/>
  <c r="AA99" i="19"/>
  <c r="Z99" i="19"/>
  <c r="Y99" i="19"/>
  <c r="V99" i="19"/>
  <c r="P99" i="19"/>
  <c r="W99" i="19" s="1"/>
  <c r="M99" i="19"/>
  <c r="L99" i="19"/>
  <c r="K99" i="19"/>
  <c r="AK98" i="19"/>
  <c r="AI98" i="19"/>
  <c r="AH98" i="19"/>
  <c r="AA98" i="19"/>
  <c r="Y98" i="19"/>
  <c r="V98" i="19"/>
  <c r="P98" i="19"/>
  <c r="W98" i="19" s="1"/>
  <c r="M98" i="19"/>
  <c r="L98" i="19"/>
  <c r="K98" i="19"/>
  <c r="AK97" i="19"/>
  <c r="AH97" i="19"/>
  <c r="AI97" i="19" s="1"/>
  <c r="AE97" i="19"/>
  <c r="AA97" i="19"/>
  <c r="Y97" i="19"/>
  <c r="W97" i="19"/>
  <c r="V97" i="19"/>
  <c r="P97" i="19"/>
  <c r="Z97" i="19" s="1"/>
  <c r="M97" i="19"/>
  <c r="L97" i="19"/>
  <c r="K97" i="19"/>
  <c r="AK96" i="19"/>
  <c r="AI96" i="19"/>
  <c r="AH96" i="19"/>
  <c r="AC96" i="19"/>
  <c r="AA96" i="19"/>
  <c r="Z96" i="19"/>
  <c r="Y96" i="19"/>
  <c r="V96" i="19"/>
  <c r="P96" i="19"/>
  <c r="W96" i="19" s="1"/>
  <c r="M96" i="19"/>
  <c r="L96" i="19"/>
  <c r="K96" i="19"/>
  <c r="AK95" i="19"/>
  <c r="AI95" i="19"/>
  <c r="AH95" i="19"/>
  <c r="AE95" i="19"/>
  <c r="AC95" i="19"/>
  <c r="AA95" i="19"/>
  <c r="Z95" i="19"/>
  <c r="Y95" i="19"/>
  <c r="W95" i="19"/>
  <c r="V95" i="19"/>
  <c r="P95" i="19"/>
  <c r="M95" i="19"/>
  <c r="L95" i="19"/>
  <c r="K95" i="19"/>
  <c r="AK94" i="19"/>
  <c r="AI94" i="19"/>
  <c r="AH94" i="19"/>
  <c r="AA94" i="19"/>
  <c r="Y94" i="19"/>
  <c r="V94" i="19"/>
  <c r="P94" i="19"/>
  <c r="AE94" i="19" s="1"/>
  <c r="M94" i="19"/>
  <c r="L94" i="19"/>
  <c r="K94" i="19"/>
  <c r="AK93" i="19"/>
  <c r="AI93" i="19"/>
  <c r="AH93" i="19"/>
  <c r="AE93" i="19"/>
  <c r="AC93" i="19"/>
  <c r="AA93" i="19"/>
  <c r="Z93" i="19"/>
  <c r="Y93" i="19"/>
  <c r="V93" i="19"/>
  <c r="P93" i="19"/>
  <c r="W93" i="19" s="1"/>
  <c r="M93" i="19"/>
  <c r="L93" i="19"/>
  <c r="K93" i="19"/>
  <c r="AK92" i="19"/>
  <c r="AH92" i="19"/>
  <c r="AI92" i="19" s="1"/>
  <c r="AA92" i="19"/>
  <c r="Y92" i="19"/>
  <c r="X92" i="19"/>
  <c r="V92" i="19"/>
  <c r="P92" i="19"/>
  <c r="W92" i="19" s="1"/>
  <c r="M92" i="19"/>
  <c r="L92" i="19"/>
  <c r="K92" i="19"/>
  <c r="AK91" i="19"/>
  <c r="AH91" i="19"/>
  <c r="AI91" i="19" s="1"/>
  <c r="AA91" i="19"/>
  <c r="Z91" i="19"/>
  <c r="Y91" i="19"/>
  <c r="X91" i="19"/>
  <c r="W91" i="19"/>
  <c r="V91" i="19"/>
  <c r="P91" i="19"/>
  <c r="AE91" i="19" s="1"/>
  <c r="M91" i="19"/>
  <c r="AK90" i="19"/>
  <c r="AH90" i="19"/>
  <c r="AI90" i="19" s="1"/>
  <c r="AA90" i="19"/>
  <c r="Z90" i="19"/>
  <c r="Y90" i="19"/>
  <c r="X90" i="19"/>
  <c r="W90" i="19"/>
  <c r="V90" i="19"/>
  <c r="P90" i="19"/>
  <c r="AE90" i="19" s="1"/>
  <c r="AK89" i="19"/>
  <c r="AI89" i="19"/>
  <c r="AH89" i="19"/>
  <c r="AC89" i="19"/>
  <c r="AA89" i="19"/>
  <c r="Y89" i="19"/>
  <c r="X89" i="19"/>
  <c r="W89" i="19"/>
  <c r="V89" i="19"/>
  <c r="P89" i="19"/>
  <c r="AE89" i="19" s="1"/>
  <c r="M89" i="19"/>
  <c r="L89" i="19"/>
  <c r="K89" i="19"/>
  <c r="AK88" i="19"/>
  <c r="AH88" i="19"/>
  <c r="AI88" i="19" s="1"/>
  <c r="AA88" i="19"/>
  <c r="Y88" i="19"/>
  <c r="X88" i="19"/>
  <c r="V88" i="19"/>
  <c r="P88" i="19"/>
  <c r="W88" i="19" s="1"/>
  <c r="AK87" i="19"/>
  <c r="AH87" i="19"/>
  <c r="AI87" i="19" s="1"/>
  <c r="AA87" i="19"/>
  <c r="Z87" i="19"/>
  <c r="X87" i="19"/>
  <c r="W87" i="19"/>
  <c r="V87" i="19"/>
  <c r="P87" i="19"/>
  <c r="Z88" i="19" s="1"/>
  <c r="AR86" i="19"/>
  <c r="AK86" i="19"/>
  <c r="AI86" i="19"/>
  <c r="AC86" i="19"/>
  <c r="AA86" i="19"/>
  <c r="Y86" i="19"/>
  <c r="X86" i="19"/>
  <c r="W86" i="19"/>
  <c r="V86" i="19"/>
  <c r="P86" i="19"/>
  <c r="AE86" i="19" s="1"/>
  <c r="BU84" i="19"/>
  <c r="BR84" i="19"/>
  <c r="AR84" i="19"/>
  <c r="BU83" i="19"/>
  <c r="BT83" i="19"/>
  <c r="BT84" i="19" s="1"/>
  <c r="BS83" i="19"/>
  <c r="BS84" i="19" s="1"/>
  <c r="BR83" i="19"/>
  <c r="BQ83" i="19"/>
  <c r="BQ84" i="19" s="1"/>
  <c r="E99" i="19" s="1"/>
  <c r="AR83" i="19"/>
  <c r="AK83" i="19"/>
  <c r="S83" i="19"/>
  <c r="AL82" i="19"/>
  <c r="W82" i="19"/>
  <c r="S82" i="19"/>
  <c r="AP81" i="19"/>
  <c r="AF99" i="19" s="1"/>
  <c r="AG99" i="19" s="1"/>
  <c r="AE81" i="19"/>
  <c r="S81" i="19"/>
  <c r="AU80" i="19"/>
  <c r="E98" i="19" s="1"/>
  <c r="S80" i="19"/>
  <c r="G76" i="19"/>
  <c r="C76" i="19" s="1"/>
  <c r="G75" i="19"/>
  <c r="G74" i="19"/>
  <c r="S73" i="19"/>
  <c r="R73" i="19"/>
  <c r="Q73" i="19"/>
  <c r="P73" i="19"/>
  <c r="O73" i="19"/>
  <c r="M73" i="19"/>
  <c r="G73" i="19"/>
  <c r="S72" i="19"/>
  <c r="R72" i="19"/>
  <c r="Q72" i="19"/>
  <c r="P72" i="19"/>
  <c r="O72" i="19"/>
  <c r="M72" i="19"/>
  <c r="G72" i="19"/>
  <c r="S71" i="19"/>
  <c r="R71" i="19"/>
  <c r="Q71" i="19"/>
  <c r="P71" i="19"/>
  <c r="O71" i="19"/>
  <c r="M71" i="19"/>
  <c r="G71" i="19"/>
  <c r="G70" i="19"/>
  <c r="S69" i="19"/>
  <c r="R69" i="19"/>
  <c r="Q69" i="19"/>
  <c r="P69" i="19"/>
  <c r="O69" i="19"/>
  <c r="M69" i="19"/>
  <c r="G69" i="19"/>
  <c r="AO67" i="19"/>
  <c r="C65" i="19"/>
  <c r="E49" i="19"/>
  <c r="AR30" i="19"/>
  <c r="C24" i="19"/>
  <c r="AP23" i="19"/>
  <c r="AV22" i="19"/>
  <c r="AV24" i="19" s="1"/>
  <c r="AP22" i="19"/>
  <c r="AL22" i="19"/>
  <c r="F22" i="19"/>
  <c r="AP21" i="19"/>
  <c r="AL21" i="19"/>
  <c r="F21" i="19"/>
  <c r="E21" i="19" s="1"/>
  <c r="C21" i="19"/>
  <c r="AL20" i="19"/>
  <c r="F20" i="19"/>
  <c r="D22" i="19" s="1"/>
  <c r="C20" i="19"/>
  <c r="G19" i="19"/>
  <c r="F19" i="19" s="1"/>
  <c r="E22" i="19" s="1"/>
  <c r="E24" i="19" s="1"/>
  <c r="E19" i="19"/>
  <c r="G18" i="19"/>
  <c r="F18" i="19"/>
  <c r="C18" i="19"/>
  <c r="F17" i="19"/>
  <c r="C17" i="19"/>
  <c r="F16" i="19"/>
  <c r="AL15" i="19"/>
  <c r="AL16" i="19" s="1"/>
  <c r="AQ14" i="19"/>
  <c r="AS15" i="19" s="1"/>
  <c r="AN14" i="19"/>
  <c r="AN13" i="19"/>
  <c r="G12" i="19"/>
  <c r="E33" i="19" s="1"/>
  <c r="F12" i="19"/>
  <c r="C12" i="19"/>
  <c r="AS10" i="19"/>
  <c r="E10" i="19" s="1"/>
  <c r="AP10" i="19"/>
  <c r="E9" i="19" s="1"/>
  <c r="AM10" i="19"/>
  <c r="F10" i="19"/>
  <c r="C10" i="19"/>
  <c r="F9" i="19"/>
  <c r="C9" i="19"/>
  <c r="C11" i="19" s="1"/>
  <c r="F8" i="19"/>
  <c r="C8" i="19"/>
  <c r="AK7" i="19"/>
  <c r="A5" i="6"/>
  <c r="C5" i="6"/>
  <c r="C6" i="6"/>
  <c r="C7" i="6"/>
  <c r="C8" i="6"/>
  <c r="D5" i="6"/>
  <c r="E5" i="6"/>
  <c r="F5" i="6"/>
  <c r="G5" i="6"/>
  <c r="H5" i="6"/>
  <c r="I5" i="6"/>
  <c r="J5" i="6"/>
  <c r="K5" i="6"/>
  <c r="L5" i="6"/>
  <c r="M5" i="6"/>
  <c r="N5" i="6"/>
  <c r="O5" i="6"/>
  <c r="P5" i="6"/>
  <c r="Q5" i="6"/>
  <c r="D6" i="6"/>
  <c r="E6" i="6"/>
  <c r="F6" i="6"/>
  <c r="G6" i="6"/>
  <c r="H6" i="6"/>
  <c r="I6" i="6"/>
  <c r="J6" i="6"/>
  <c r="K6" i="6"/>
  <c r="L6" i="6"/>
  <c r="M6" i="6"/>
  <c r="N6" i="6"/>
  <c r="O6" i="6"/>
  <c r="P6" i="6"/>
  <c r="Q6" i="6"/>
  <c r="D7" i="6"/>
  <c r="E7" i="6"/>
  <c r="F7" i="6"/>
  <c r="G7" i="6"/>
  <c r="H7" i="6"/>
  <c r="I7" i="6"/>
  <c r="J7" i="6"/>
  <c r="K7" i="6"/>
  <c r="L7" i="6"/>
  <c r="M7" i="6"/>
  <c r="N7" i="6"/>
  <c r="O7" i="6"/>
  <c r="P7" i="6"/>
  <c r="Q7" i="6"/>
  <c r="D8" i="6"/>
  <c r="E8" i="6"/>
  <c r="F8" i="6"/>
  <c r="G8" i="6"/>
  <c r="H8" i="6"/>
  <c r="I8" i="6"/>
  <c r="J8" i="6"/>
  <c r="K8" i="6"/>
  <c r="L8" i="6"/>
  <c r="M8" i="6"/>
  <c r="N8" i="6"/>
  <c r="O8" i="6"/>
  <c r="P8" i="6"/>
  <c r="Q8" i="6"/>
  <c r="C9" i="6"/>
  <c r="D9" i="6"/>
  <c r="E9" i="6"/>
  <c r="F9" i="6"/>
  <c r="G9" i="6"/>
  <c r="H9" i="6"/>
  <c r="I9" i="6"/>
  <c r="J9" i="6"/>
  <c r="K9" i="6"/>
  <c r="L9" i="6"/>
  <c r="M9" i="6"/>
  <c r="N9" i="6"/>
  <c r="O9" i="6"/>
  <c r="P9" i="6"/>
  <c r="Q9" i="6"/>
  <c r="C10" i="6"/>
  <c r="D10" i="6"/>
  <c r="E10" i="6"/>
  <c r="F10" i="6"/>
  <c r="G10" i="6"/>
  <c r="H10" i="6"/>
  <c r="I10" i="6"/>
  <c r="J10" i="6"/>
  <c r="K10" i="6"/>
  <c r="L10" i="6"/>
  <c r="M10" i="6"/>
  <c r="N10" i="6"/>
  <c r="O10" i="6"/>
  <c r="P10" i="6"/>
  <c r="Q10" i="6"/>
  <c r="C11" i="6"/>
  <c r="D11" i="6"/>
  <c r="E11" i="6"/>
  <c r="F11" i="6"/>
  <c r="G11" i="6"/>
  <c r="H11" i="6"/>
  <c r="I11" i="6"/>
  <c r="J11" i="6"/>
  <c r="K11" i="6"/>
  <c r="L11" i="6"/>
  <c r="M11" i="6"/>
  <c r="N11" i="6"/>
  <c r="O11" i="6"/>
  <c r="P11" i="6"/>
  <c r="Q11" i="6"/>
  <c r="C12" i="6"/>
  <c r="D12" i="6"/>
  <c r="E12" i="6"/>
  <c r="F12" i="6"/>
  <c r="G12" i="6"/>
  <c r="H12" i="6"/>
  <c r="I12" i="6"/>
  <c r="J12" i="6"/>
  <c r="K12" i="6"/>
  <c r="L12" i="6"/>
  <c r="M12" i="6"/>
  <c r="N12" i="6"/>
  <c r="O12" i="6"/>
  <c r="P12" i="6"/>
  <c r="Q12" i="6"/>
  <c r="C13" i="6"/>
  <c r="D13" i="6"/>
  <c r="E13" i="6"/>
  <c r="F13" i="6"/>
  <c r="G13" i="6"/>
  <c r="H13" i="6"/>
  <c r="I13" i="6"/>
  <c r="J13" i="6"/>
  <c r="K13" i="6"/>
  <c r="L13" i="6"/>
  <c r="M13" i="6"/>
  <c r="N13" i="6"/>
  <c r="O13" i="6"/>
  <c r="P13" i="6"/>
  <c r="Q13" i="6"/>
  <c r="C14" i="6"/>
  <c r="D14" i="6"/>
  <c r="E14" i="6"/>
  <c r="F14" i="6"/>
  <c r="G14" i="6"/>
  <c r="H14" i="6"/>
  <c r="I14" i="6"/>
  <c r="J14" i="6"/>
  <c r="K14" i="6"/>
  <c r="L14" i="6"/>
  <c r="M14" i="6"/>
  <c r="N14" i="6"/>
  <c r="O14" i="6"/>
  <c r="P14" i="6"/>
  <c r="Q14" i="6"/>
  <c r="C15" i="6"/>
  <c r="D15" i="6"/>
  <c r="E15" i="6"/>
  <c r="F15" i="6"/>
  <c r="G15" i="6"/>
  <c r="H15" i="6"/>
  <c r="I15" i="6"/>
  <c r="J15" i="6"/>
  <c r="K15" i="6"/>
  <c r="L15" i="6"/>
  <c r="M15" i="6"/>
  <c r="N15" i="6"/>
  <c r="O15" i="6"/>
  <c r="P15" i="6"/>
  <c r="Q15" i="6"/>
  <c r="C16" i="6"/>
  <c r="D16" i="6"/>
  <c r="E16" i="6"/>
  <c r="F16" i="6"/>
  <c r="G16" i="6"/>
  <c r="H16" i="6"/>
  <c r="I16" i="6"/>
  <c r="J16" i="6"/>
  <c r="K16" i="6"/>
  <c r="L16" i="6"/>
  <c r="M16" i="6"/>
  <c r="N16" i="6"/>
  <c r="O16" i="6"/>
  <c r="P16" i="6"/>
  <c r="Q16" i="6"/>
  <c r="C17" i="6"/>
  <c r="D17" i="6"/>
  <c r="E17" i="6"/>
  <c r="F17" i="6"/>
  <c r="G17" i="6"/>
  <c r="H17" i="6"/>
  <c r="I17" i="6"/>
  <c r="J17" i="6"/>
  <c r="K17" i="6"/>
  <c r="L17" i="6"/>
  <c r="M17" i="6"/>
  <c r="N17" i="6"/>
  <c r="O17" i="6"/>
  <c r="P17" i="6"/>
  <c r="Q17" i="6"/>
  <c r="C18" i="6"/>
  <c r="D18" i="6"/>
  <c r="E18" i="6"/>
  <c r="F18" i="6"/>
  <c r="G18" i="6"/>
  <c r="H18" i="6"/>
  <c r="I18" i="6"/>
  <c r="J18" i="6"/>
  <c r="K18" i="6"/>
  <c r="L18" i="6"/>
  <c r="M18" i="6"/>
  <c r="N18" i="6"/>
  <c r="O18" i="6"/>
  <c r="P18" i="6"/>
  <c r="Q18" i="6"/>
  <c r="C19" i="6"/>
  <c r="D19" i="6"/>
  <c r="E19" i="6"/>
  <c r="F19" i="6"/>
  <c r="G19" i="6"/>
  <c r="H19" i="6"/>
  <c r="I19" i="6"/>
  <c r="J19" i="6"/>
  <c r="K19" i="6"/>
  <c r="L19" i="6"/>
  <c r="M19" i="6"/>
  <c r="N19" i="6"/>
  <c r="O19" i="6"/>
  <c r="P19" i="6"/>
  <c r="Q19" i="6"/>
  <c r="C20" i="6"/>
  <c r="D20" i="6"/>
  <c r="E20" i="6"/>
  <c r="F20" i="6"/>
  <c r="G20" i="6"/>
  <c r="H20" i="6"/>
  <c r="I20" i="6"/>
  <c r="J20" i="6"/>
  <c r="K20" i="6"/>
  <c r="L20" i="6"/>
  <c r="M20" i="6"/>
  <c r="N20" i="6"/>
  <c r="O20" i="6"/>
  <c r="P20" i="6"/>
  <c r="Q20" i="6"/>
  <c r="C21" i="6"/>
  <c r="D21" i="6"/>
  <c r="E21" i="6"/>
  <c r="F21" i="6"/>
  <c r="G21" i="6"/>
  <c r="H21" i="6"/>
  <c r="I21" i="6"/>
  <c r="J21" i="6"/>
  <c r="K21" i="6"/>
  <c r="L21" i="6"/>
  <c r="M21" i="6"/>
  <c r="N21" i="6"/>
  <c r="O21" i="6"/>
  <c r="P21" i="6"/>
  <c r="Q21" i="6"/>
  <c r="C22" i="6"/>
  <c r="D22" i="6"/>
  <c r="E22" i="6"/>
  <c r="F22" i="6"/>
  <c r="G22" i="6"/>
  <c r="H22" i="6"/>
  <c r="I22" i="6"/>
  <c r="J22" i="6"/>
  <c r="K22" i="6"/>
  <c r="L22" i="6"/>
  <c r="M22" i="6"/>
  <c r="N22" i="6"/>
  <c r="O22" i="6"/>
  <c r="P22" i="6"/>
  <c r="Q22" i="6"/>
  <c r="C23" i="6"/>
  <c r="D23" i="6"/>
  <c r="E23" i="6"/>
  <c r="F23" i="6"/>
  <c r="G23" i="6"/>
  <c r="H23" i="6"/>
  <c r="I23" i="6"/>
  <c r="J23" i="6"/>
  <c r="K23" i="6"/>
  <c r="L23" i="6"/>
  <c r="M23" i="6"/>
  <c r="N23" i="6"/>
  <c r="O23" i="6"/>
  <c r="P23" i="6"/>
  <c r="Q23" i="6"/>
  <c r="X111" i="19" l="1"/>
  <c r="G32" i="19"/>
  <c r="C72" i="19" s="1"/>
  <c r="L70" i="19"/>
  <c r="E61" i="19"/>
  <c r="E34" i="19"/>
  <c r="C35" i="19" s="1"/>
  <c r="Q74" i="19"/>
  <c r="E52" i="19"/>
  <c r="P74" i="19"/>
  <c r="O74" i="19" s="1"/>
  <c r="E26" i="19"/>
  <c r="E25" i="19"/>
  <c r="E55" i="19"/>
  <c r="E56" i="19" s="1"/>
  <c r="R74" i="19"/>
  <c r="AP88" i="19"/>
  <c r="AF94" i="19"/>
  <c r="AG94" i="19" s="1"/>
  <c r="AP97" i="19"/>
  <c r="BG143" i="19"/>
  <c r="BO143" i="19"/>
  <c r="AR81" i="19"/>
  <c r="Z86" i="19"/>
  <c r="AP86" i="19"/>
  <c r="AP87" i="19"/>
  <c r="AC88" i="19"/>
  <c r="Z89" i="19"/>
  <c r="AP90" i="19"/>
  <c r="AP91" i="19"/>
  <c r="AF95" i="19"/>
  <c r="AG95" i="19" s="1"/>
  <c r="AE96" i="19"/>
  <c r="AC97" i="19"/>
  <c r="Z98" i="19"/>
  <c r="Z100" i="19"/>
  <c r="AP104" i="19"/>
  <c r="AF106" i="19"/>
  <c r="AG106" i="19" s="1"/>
  <c r="S109" i="19"/>
  <c r="AE110" i="19"/>
  <c r="AF110" i="19" s="1"/>
  <c r="W111" i="19"/>
  <c r="S112" i="19"/>
  <c r="AC113" i="19"/>
  <c r="AE114" i="19"/>
  <c r="AF114" i="19" s="1"/>
  <c r="BB131" i="19"/>
  <c r="BJ131" i="19"/>
  <c r="BR131" i="19"/>
  <c r="BA137" i="19"/>
  <c r="BI137" i="19"/>
  <c r="BQ137" i="19"/>
  <c r="AZ143" i="19"/>
  <c r="BH143" i="19"/>
  <c r="BP143" i="19"/>
  <c r="BG150" i="19"/>
  <c r="BO150" i="19"/>
  <c r="BF156" i="19"/>
  <c r="BN156" i="19"/>
  <c r="BE162" i="19"/>
  <c r="BM162" i="19"/>
  <c r="AC87" i="19"/>
  <c r="AE88" i="19"/>
  <c r="AP89" i="19"/>
  <c r="AC90" i="19"/>
  <c r="AC91" i="19"/>
  <c r="Z92" i="19"/>
  <c r="W94" i="19"/>
  <c r="AF96" i="19"/>
  <c r="AG96" i="19" s="1"/>
  <c r="AP98" i="19"/>
  <c r="AC104" i="19"/>
  <c r="W109" i="19"/>
  <c r="W112" i="19"/>
  <c r="AE113" i="19"/>
  <c r="AF113" i="19" s="1"/>
  <c r="BC131" i="19"/>
  <c r="BK131" i="19"/>
  <c r="BS131" i="19"/>
  <c r="BA143" i="19"/>
  <c r="BI143" i="19"/>
  <c r="BQ143" i="19"/>
  <c r="BG156" i="19"/>
  <c r="BO156" i="19"/>
  <c r="BF162" i="19"/>
  <c r="BN162" i="19"/>
  <c r="E41" i="19"/>
  <c r="AE87" i="19"/>
  <c r="AF88" i="19"/>
  <c r="AG88" i="19" s="1"/>
  <c r="AP92" i="19"/>
  <c r="AF97" i="19"/>
  <c r="AG97" i="19" s="1"/>
  <c r="AC98" i="19"/>
  <c r="AC100" i="19"/>
  <c r="AE104" i="19"/>
  <c r="X109" i="19"/>
  <c r="AG110" i="19"/>
  <c r="AC111" i="19"/>
  <c r="X112" i="19"/>
  <c r="AG114" i="19"/>
  <c r="BD131" i="19"/>
  <c r="BL131" i="19"/>
  <c r="BC137" i="19"/>
  <c r="BK137" i="19"/>
  <c r="BS137" i="19"/>
  <c r="BB143" i="19"/>
  <c r="BJ143" i="19"/>
  <c r="BR143" i="19"/>
  <c r="AZ156" i="19"/>
  <c r="BH156" i="19"/>
  <c r="BP156" i="19"/>
  <c r="BG162" i="19"/>
  <c r="BO162" i="19"/>
  <c r="AF87" i="19"/>
  <c r="AG87" i="19" s="1"/>
  <c r="AF90" i="19"/>
  <c r="AG90" i="19" s="1"/>
  <c r="AF91" i="19"/>
  <c r="AG91" i="19" s="1"/>
  <c r="AC92" i="19"/>
  <c r="AP93" i="19"/>
  <c r="Z94" i="19"/>
  <c r="AE98" i="19"/>
  <c r="AP99" i="19"/>
  <c r="AE100" i="19"/>
  <c r="AP100" i="19" s="1"/>
  <c r="AF104" i="19"/>
  <c r="AG104" i="19" s="1"/>
  <c r="W106" i="19"/>
  <c r="AF108" i="19"/>
  <c r="AG108" i="19" s="1"/>
  <c r="AC109" i="19"/>
  <c r="AE111" i="19"/>
  <c r="AF111" i="19" s="1"/>
  <c r="AC112" i="19"/>
  <c r="AG113" i="19"/>
  <c r="BE131" i="19"/>
  <c r="BM131" i="19"/>
  <c r="BD137" i="19"/>
  <c r="BL137" i="19"/>
  <c r="BC143" i="19"/>
  <c r="BK143" i="19"/>
  <c r="BS143" i="19"/>
  <c r="BB150" i="19"/>
  <c r="BJ150" i="19"/>
  <c r="BA156" i="19"/>
  <c r="BI156" i="19"/>
  <c r="BQ156" i="19"/>
  <c r="AZ162" i="19"/>
  <c r="BH162" i="19"/>
  <c r="BP162" i="19"/>
  <c r="AP84" i="19"/>
  <c r="AF86" i="19"/>
  <c r="AG86" i="19" s="1"/>
  <c r="AF89" i="19"/>
  <c r="AG89" i="19" s="1"/>
  <c r="AE92" i="19"/>
  <c r="AP94" i="19"/>
  <c r="AF98" i="19"/>
  <c r="AG98" i="19" s="1"/>
  <c r="AF100" i="19"/>
  <c r="AG100" i="19" s="1"/>
  <c r="AP106" i="19"/>
  <c r="BD143" i="19"/>
  <c r="BL143" i="19"/>
  <c r="AF92" i="19"/>
  <c r="AG92" i="19" s="1"/>
  <c r="AC94" i="19"/>
  <c r="AP95" i="19"/>
  <c r="AG111" i="19"/>
  <c r="S114" i="19"/>
  <c r="BG131" i="19"/>
  <c r="BO131" i="19"/>
  <c r="BE143" i="19"/>
  <c r="BM143" i="19"/>
  <c r="Y87" i="19"/>
  <c r="AF93" i="19"/>
  <c r="AG93" i="19" s="1"/>
  <c r="AP96" i="19"/>
  <c r="AG109" i="19"/>
  <c r="AG112" i="19"/>
  <c r="AZ131" i="19"/>
  <c r="BH131" i="19"/>
  <c r="BG137" i="19"/>
  <c r="BF143" i="19"/>
  <c r="BD156" i="19"/>
  <c r="BC162" i="19"/>
  <c r="BK162" i="19"/>
  <c r="E42" i="19" l="1"/>
  <c r="C43" i="19" s="1"/>
  <c r="G40" i="19"/>
  <c r="C73" i="19" s="1"/>
  <c r="AD107" i="19"/>
  <c r="AD105" i="19"/>
  <c r="C71" i="19"/>
  <c r="O70" i="19"/>
  <c r="M70" i="19"/>
  <c r="S70" i="19"/>
  <c r="R70" i="19"/>
  <c r="Q70" i="19"/>
  <c r="P70" i="19"/>
  <c r="AE107" i="19" l="1"/>
  <c r="AP107" i="19"/>
  <c r="AF107" i="19"/>
  <c r="AG107" i="19" s="1"/>
  <c r="AE105" i="19"/>
  <c r="AP105" i="19"/>
  <c r="AF105" i="19"/>
  <c r="AG105" i="19" s="1"/>
  <c r="H124" i="9" l="1"/>
  <c r="G109" i="9"/>
  <c r="G127" i="9" s="1"/>
  <c r="G124" i="9"/>
  <c r="G121" i="9"/>
  <c r="G131" i="9"/>
  <c r="G128" i="9" s="1"/>
  <c r="G129" i="9" l="1"/>
  <c r="H129" i="9"/>
  <c r="I129" i="9" s="1"/>
  <c r="G116" i="9" l="1" a="1"/>
  <c r="G116" i="9" s="1"/>
  <c r="G117" i="9" s="1"/>
  <c r="G125" i="9" s="1"/>
  <c r="G120" i="9" a="1"/>
  <c r="G120" i="9" s="1"/>
  <c r="G126" i="9" l="1"/>
  <c r="H126" i="9"/>
  <c r="G122" i="9"/>
  <c r="G123" i="9" s="1"/>
  <c r="H135" i="9" l="1"/>
  <c r="H136" i="9" s="1"/>
  <c r="I135" i="9"/>
  <c r="I136" i="9" s="1"/>
  <c r="J135" i="9"/>
  <c r="J136" i="9" s="1"/>
  <c r="G135" i="9"/>
  <c r="G136" i="9" s="1"/>
  <c r="U2" i="9" l="1"/>
  <c r="R54" i="9"/>
  <c r="R55" i="9"/>
  <c r="R56" i="9"/>
  <c r="R57" i="9"/>
  <c r="R58" i="9"/>
  <c r="R59" i="9"/>
  <c r="R60" i="9"/>
  <c r="R61" i="9"/>
  <c r="R62" i="9"/>
  <c r="R63" i="9"/>
  <c r="R64" i="9"/>
  <c r="R65" i="9"/>
  <c r="R66" i="9"/>
  <c r="R67" i="9"/>
  <c r="R68" i="9"/>
  <c r="R69" i="9"/>
  <c r="R70" i="9"/>
  <c r="R71" i="9"/>
  <c r="R72" i="9"/>
  <c r="R73" i="9"/>
  <c r="R74" i="9"/>
  <c r="R75" i="9"/>
  <c r="R76" i="9"/>
  <c r="R77" i="9"/>
  <c r="R78" i="9"/>
  <c r="R79" i="9"/>
  <c r="R80" i="9"/>
  <c r="R81" i="9"/>
  <c r="R82" i="9"/>
  <c r="R53" i="9"/>
  <c r="R52" i="9"/>
  <c r="D4" i="9" l="1"/>
  <c r="E4" i="9"/>
  <c r="F4" i="9"/>
  <c r="G4" i="9"/>
  <c r="H4" i="9"/>
  <c r="I4" i="9"/>
  <c r="J4" i="9"/>
  <c r="K4" i="9"/>
  <c r="L4" i="9"/>
  <c r="M4" i="9"/>
  <c r="N4" i="9"/>
  <c r="O4" i="9"/>
  <c r="S4" i="9" s="1"/>
  <c r="U4" i="9" s="1"/>
  <c r="D5" i="9"/>
  <c r="E5" i="9"/>
  <c r="F5" i="9"/>
  <c r="G5" i="9"/>
  <c r="H5" i="9"/>
  <c r="I5" i="9"/>
  <c r="J5" i="9"/>
  <c r="K5" i="9"/>
  <c r="L5" i="9"/>
  <c r="M5" i="9"/>
  <c r="N5" i="9"/>
  <c r="O5" i="9"/>
  <c r="S5" i="9" s="1"/>
  <c r="U5" i="9" s="1"/>
  <c r="D6" i="9"/>
  <c r="E6" i="9"/>
  <c r="F6" i="9"/>
  <c r="G6" i="9"/>
  <c r="H6" i="9"/>
  <c r="I6" i="9"/>
  <c r="J6" i="9"/>
  <c r="K6" i="9"/>
  <c r="L6" i="9"/>
  <c r="M6" i="9"/>
  <c r="N6" i="9"/>
  <c r="O6" i="9"/>
  <c r="S6" i="9" s="1"/>
  <c r="U6" i="9" s="1"/>
  <c r="D7" i="9"/>
  <c r="E7" i="9"/>
  <c r="F7" i="9"/>
  <c r="G7" i="9"/>
  <c r="H7" i="9"/>
  <c r="I7" i="9"/>
  <c r="J7" i="9"/>
  <c r="K7" i="9"/>
  <c r="L7" i="9"/>
  <c r="M7" i="9"/>
  <c r="N7" i="9"/>
  <c r="O7" i="9"/>
  <c r="S7" i="9" s="1"/>
  <c r="U7" i="9" s="1"/>
  <c r="D8" i="9"/>
  <c r="E8" i="9"/>
  <c r="F8" i="9"/>
  <c r="G8" i="9"/>
  <c r="H8" i="9"/>
  <c r="I8" i="9"/>
  <c r="J8" i="9"/>
  <c r="K8" i="9"/>
  <c r="L8" i="9"/>
  <c r="M8" i="9"/>
  <c r="N8" i="9"/>
  <c r="O8" i="9"/>
  <c r="S8" i="9" s="1"/>
  <c r="U8" i="9" s="1"/>
  <c r="D9" i="9"/>
  <c r="E9" i="9"/>
  <c r="F9" i="9"/>
  <c r="G9" i="9"/>
  <c r="H9" i="9"/>
  <c r="I9" i="9"/>
  <c r="J9" i="9"/>
  <c r="K9" i="9"/>
  <c r="L9" i="9"/>
  <c r="M9" i="9"/>
  <c r="N9" i="9"/>
  <c r="O9" i="9"/>
  <c r="S9" i="9" s="1"/>
  <c r="U9" i="9" s="1"/>
  <c r="D10" i="9"/>
  <c r="E10" i="9"/>
  <c r="F10" i="9"/>
  <c r="G10" i="9"/>
  <c r="H10" i="9"/>
  <c r="I10" i="9"/>
  <c r="J10" i="9"/>
  <c r="K10" i="9"/>
  <c r="L10" i="9"/>
  <c r="M10" i="9"/>
  <c r="N10" i="9"/>
  <c r="O10" i="9"/>
  <c r="S10" i="9" s="1"/>
  <c r="U10" i="9" s="1"/>
  <c r="D11" i="9"/>
  <c r="E11" i="9"/>
  <c r="F11" i="9"/>
  <c r="G11" i="9"/>
  <c r="H11" i="9"/>
  <c r="I11" i="9"/>
  <c r="J11" i="9"/>
  <c r="K11" i="9"/>
  <c r="L11" i="9"/>
  <c r="M11" i="9"/>
  <c r="N11" i="9"/>
  <c r="O11" i="9"/>
  <c r="S11" i="9" s="1"/>
  <c r="U11" i="9" s="1"/>
  <c r="D12" i="9"/>
  <c r="E12" i="9"/>
  <c r="F12" i="9"/>
  <c r="G12" i="9"/>
  <c r="H12" i="9"/>
  <c r="I12" i="9"/>
  <c r="J12" i="9"/>
  <c r="K12" i="9"/>
  <c r="L12" i="9"/>
  <c r="M12" i="9"/>
  <c r="N12" i="9"/>
  <c r="O12" i="9"/>
  <c r="S12" i="9" s="1"/>
  <c r="D14" i="9"/>
  <c r="E14" i="9"/>
  <c r="F14" i="9"/>
  <c r="G14" i="9"/>
  <c r="H14" i="9"/>
  <c r="I14" i="9"/>
  <c r="J14" i="9"/>
  <c r="K14" i="9"/>
  <c r="L14" i="9"/>
  <c r="M14" i="9"/>
  <c r="N14" i="9"/>
  <c r="O14" i="9"/>
  <c r="D15" i="9"/>
  <c r="E15" i="9"/>
  <c r="F15" i="9"/>
  <c r="G15" i="9"/>
  <c r="H15" i="9"/>
  <c r="I15" i="9"/>
  <c r="J15" i="9"/>
  <c r="K15" i="9"/>
  <c r="L15" i="9"/>
  <c r="M15" i="9"/>
  <c r="N15" i="9"/>
  <c r="O15" i="9"/>
  <c r="D16" i="9"/>
  <c r="E16" i="9"/>
  <c r="F16" i="9"/>
  <c r="G16" i="9"/>
  <c r="H16" i="9"/>
  <c r="I16" i="9"/>
  <c r="J16" i="9"/>
  <c r="K16" i="9"/>
  <c r="L16" i="9"/>
  <c r="M16" i="9"/>
  <c r="N16" i="9"/>
  <c r="O16" i="9"/>
  <c r="D17" i="9"/>
  <c r="E17" i="9"/>
  <c r="F17" i="9"/>
  <c r="G17" i="9"/>
  <c r="H17" i="9"/>
  <c r="I17" i="9"/>
  <c r="J17" i="9"/>
  <c r="K17" i="9"/>
  <c r="L17" i="9"/>
  <c r="M17" i="9"/>
  <c r="N17" i="9"/>
  <c r="O17" i="9"/>
  <c r="D18" i="9"/>
  <c r="E18" i="9"/>
  <c r="F18" i="9"/>
  <c r="G18" i="9"/>
  <c r="H18" i="9"/>
  <c r="I18" i="9"/>
  <c r="J18" i="9"/>
  <c r="K18" i="9"/>
  <c r="L18" i="9"/>
  <c r="M18" i="9"/>
  <c r="N18" i="9"/>
  <c r="O18" i="9"/>
  <c r="D19" i="9"/>
  <c r="E19" i="9"/>
  <c r="F19" i="9"/>
  <c r="G19" i="9"/>
  <c r="H19" i="9"/>
  <c r="I19" i="9"/>
  <c r="J19" i="9"/>
  <c r="K19" i="9"/>
  <c r="L19" i="9"/>
  <c r="M19" i="9"/>
  <c r="N19" i="9"/>
  <c r="O19" i="9"/>
  <c r="D20" i="9"/>
  <c r="E20" i="9"/>
  <c r="F20" i="9"/>
  <c r="G20" i="9"/>
  <c r="H20" i="9"/>
  <c r="I20" i="9"/>
  <c r="J20" i="9"/>
  <c r="K20" i="9"/>
  <c r="L20" i="9"/>
  <c r="M20" i="9"/>
  <c r="N20" i="9"/>
  <c r="O20" i="9"/>
  <c r="D21" i="9"/>
  <c r="E21" i="9"/>
  <c r="F21" i="9"/>
  <c r="G21" i="9"/>
  <c r="H21" i="9"/>
  <c r="I21" i="9"/>
  <c r="J21" i="9"/>
  <c r="K21" i="9"/>
  <c r="L21" i="9"/>
  <c r="M21" i="9"/>
  <c r="N21" i="9"/>
  <c r="O21" i="9"/>
  <c r="D22" i="9"/>
  <c r="E22" i="9"/>
  <c r="F22" i="9"/>
  <c r="G22" i="9"/>
  <c r="H22" i="9"/>
  <c r="I22" i="9"/>
  <c r="J22" i="9"/>
  <c r="K22" i="9"/>
  <c r="L22" i="9"/>
  <c r="M22" i="9"/>
  <c r="N22" i="9"/>
  <c r="O22" i="9"/>
  <c r="D24" i="9"/>
  <c r="E24" i="9"/>
  <c r="F24" i="9"/>
  <c r="G24" i="9"/>
  <c r="H24" i="9"/>
  <c r="I24" i="9"/>
  <c r="J24" i="9"/>
  <c r="K24" i="9"/>
  <c r="L24" i="9"/>
  <c r="M24" i="9"/>
  <c r="N24" i="9"/>
  <c r="O24" i="9"/>
  <c r="D25" i="9"/>
  <c r="E25" i="9"/>
  <c r="F25" i="9"/>
  <c r="G25" i="9"/>
  <c r="H25" i="9"/>
  <c r="I25" i="9"/>
  <c r="J25" i="9"/>
  <c r="K25" i="9"/>
  <c r="L25" i="9"/>
  <c r="M25" i="9"/>
  <c r="N25" i="9"/>
  <c r="O25" i="9"/>
  <c r="D26" i="9"/>
  <c r="E26" i="9"/>
  <c r="F26" i="9"/>
  <c r="G26" i="9"/>
  <c r="H26" i="9"/>
  <c r="I26" i="9"/>
  <c r="J26" i="9"/>
  <c r="K26" i="9"/>
  <c r="L26" i="9"/>
  <c r="M26" i="9"/>
  <c r="N26" i="9"/>
  <c r="O26" i="9"/>
  <c r="D27" i="9"/>
  <c r="E27" i="9"/>
  <c r="F27" i="9"/>
  <c r="G27" i="9"/>
  <c r="H27" i="9"/>
  <c r="I27" i="9"/>
  <c r="J27" i="9"/>
  <c r="K27" i="9"/>
  <c r="L27" i="9"/>
  <c r="M27" i="9"/>
  <c r="N27" i="9"/>
  <c r="O27" i="9"/>
  <c r="D28" i="9"/>
  <c r="E28" i="9"/>
  <c r="F28" i="9"/>
  <c r="G28" i="9"/>
  <c r="H28" i="9"/>
  <c r="I28" i="9"/>
  <c r="J28" i="9"/>
  <c r="K28" i="9"/>
  <c r="L28" i="9"/>
  <c r="M28" i="9"/>
  <c r="N28" i="9"/>
  <c r="O28" i="9"/>
  <c r="D29" i="9"/>
  <c r="E29" i="9"/>
  <c r="F29" i="9"/>
  <c r="G29" i="9"/>
  <c r="H29" i="9"/>
  <c r="I29" i="9"/>
  <c r="J29" i="9"/>
  <c r="K29" i="9"/>
  <c r="L29" i="9"/>
  <c r="M29" i="9"/>
  <c r="N29" i="9"/>
  <c r="O29" i="9"/>
  <c r="D30" i="9"/>
  <c r="E30" i="9"/>
  <c r="F30" i="9"/>
  <c r="G30" i="9"/>
  <c r="H30" i="9"/>
  <c r="I30" i="9"/>
  <c r="J30" i="9"/>
  <c r="K30" i="9"/>
  <c r="L30" i="9"/>
  <c r="M30" i="9"/>
  <c r="N30" i="9"/>
  <c r="O30" i="9"/>
  <c r="D31" i="9"/>
  <c r="E31" i="9"/>
  <c r="F31" i="9"/>
  <c r="G31" i="9"/>
  <c r="H31" i="9"/>
  <c r="I31" i="9"/>
  <c r="J31" i="9"/>
  <c r="K31" i="9"/>
  <c r="L31" i="9"/>
  <c r="M31" i="9"/>
  <c r="N31" i="9"/>
  <c r="O31" i="9"/>
  <c r="D32" i="9"/>
  <c r="E32" i="9"/>
  <c r="F32" i="9"/>
  <c r="G32" i="9"/>
  <c r="H32" i="9"/>
  <c r="I32" i="9"/>
  <c r="J32" i="9"/>
  <c r="K32" i="9"/>
  <c r="L32" i="9"/>
  <c r="M32" i="9"/>
  <c r="N32" i="9"/>
  <c r="O32" i="9"/>
  <c r="D34" i="9"/>
  <c r="E34" i="9"/>
  <c r="F34" i="9"/>
  <c r="G34" i="9"/>
  <c r="H34" i="9"/>
  <c r="I34" i="9"/>
  <c r="J34" i="9"/>
  <c r="K34" i="9"/>
  <c r="L34" i="9"/>
  <c r="M34" i="9"/>
  <c r="N34" i="9"/>
  <c r="O34" i="9"/>
  <c r="D35" i="9"/>
  <c r="E35" i="9"/>
  <c r="F35" i="9"/>
  <c r="G35" i="9"/>
  <c r="H35" i="9"/>
  <c r="I35" i="9"/>
  <c r="J35" i="9"/>
  <c r="K35" i="9"/>
  <c r="L35" i="9"/>
  <c r="M35" i="9"/>
  <c r="N35" i="9"/>
  <c r="O35" i="9"/>
  <c r="D36" i="9"/>
  <c r="E36" i="9"/>
  <c r="F36" i="9"/>
  <c r="G36" i="9"/>
  <c r="H36" i="9"/>
  <c r="I36" i="9"/>
  <c r="J36" i="9"/>
  <c r="K36" i="9"/>
  <c r="L36" i="9"/>
  <c r="M36" i="9"/>
  <c r="N36" i="9"/>
  <c r="O36" i="9"/>
  <c r="D37" i="9"/>
  <c r="E37" i="9"/>
  <c r="F37" i="9"/>
  <c r="G37" i="9"/>
  <c r="H37" i="9"/>
  <c r="I37" i="9"/>
  <c r="J37" i="9"/>
  <c r="K37" i="9"/>
  <c r="L37" i="9"/>
  <c r="M37" i="9"/>
  <c r="N37" i="9"/>
  <c r="O37" i="9"/>
  <c r="D38" i="9"/>
  <c r="E38" i="9"/>
  <c r="F38" i="9"/>
  <c r="G38" i="9"/>
  <c r="H38" i="9"/>
  <c r="I38" i="9"/>
  <c r="J38" i="9"/>
  <c r="K38" i="9"/>
  <c r="L38" i="9"/>
  <c r="M38" i="9"/>
  <c r="N38" i="9"/>
  <c r="O38" i="9"/>
  <c r="D39" i="9"/>
  <c r="E39" i="9"/>
  <c r="F39" i="9"/>
  <c r="G39" i="9"/>
  <c r="H39" i="9"/>
  <c r="I39" i="9"/>
  <c r="J39" i="9"/>
  <c r="K39" i="9"/>
  <c r="L39" i="9"/>
  <c r="M39" i="9"/>
  <c r="N39" i="9"/>
  <c r="O39" i="9"/>
  <c r="D40" i="9"/>
  <c r="E40" i="9"/>
  <c r="F40" i="9"/>
  <c r="G40" i="9"/>
  <c r="H40" i="9"/>
  <c r="I40" i="9"/>
  <c r="J40" i="9"/>
  <c r="K40" i="9"/>
  <c r="L40" i="9"/>
  <c r="M40" i="9"/>
  <c r="N40" i="9"/>
  <c r="O40" i="9"/>
  <c r="D41" i="9"/>
  <c r="E41" i="9"/>
  <c r="F41" i="9"/>
  <c r="G41" i="9"/>
  <c r="H41" i="9"/>
  <c r="I41" i="9"/>
  <c r="J41" i="9"/>
  <c r="K41" i="9"/>
  <c r="L41" i="9"/>
  <c r="M41" i="9"/>
  <c r="N41" i="9"/>
  <c r="O41" i="9"/>
  <c r="D42" i="9"/>
  <c r="E42" i="9"/>
  <c r="F42" i="9"/>
  <c r="G42" i="9"/>
  <c r="H42" i="9"/>
  <c r="I42" i="9"/>
  <c r="J42" i="9"/>
  <c r="K42" i="9"/>
  <c r="L42" i="9"/>
  <c r="M42" i="9"/>
  <c r="N42" i="9"/>
  <c r="O42" i="9"/>
  <c r="I45" i="9"/>
  <c r="L45" i="9"/>
  <c r="M45" i="9"/>
  <c r="N45" i="9"/>
  <c r="O45" i="9"/>
  <c r="B46" i="9"/>
  <c r="I46" i="9"/>
  <c r="L46" i="9"/>
  <c r="M46" i="9"/>
  <c r="N46" i="9"/>
  <c r="O46" i="9"/>
  <c r="I47" i="9"/>
  <c r="L47" i="9"/>
  <c r="M47" i="9"/>
  <c r="N47" i="9"/>
  <c r="O47" i="9"/>
  <c r="D53" i="9"/>
  <c r="E53" i="9"/>
  <c r="F53" i="9"/>
  <c r="G53" i="9"/>
  <c r="H53" i="9"/>
  <c r="I53" i="9"/>
  <c r="J53" i="9"/>
  <c r="K53" i="9"/>
  <c r="L53" i="9"/>
  <c r="M53" i="9"/>
  <c r="N53" i="9"/>
  <c r="O53" i="9"/>
  <c r="P53" i="9"/>
  <c r="Q53" i="9"/>
  <c r="S53" i="9"/>
  <c r="D54" i="9"/>
  <c r="E54" i="9"/>
  <c r="F54" i="9"/>
  <c r="G54" i="9"/>
  <c r="H54" i="9"/>
  <c r="I54" i="9"/>
  <c r="J54" i="9"/>
  <c r="K54" i="9"/>
  <c r="L54" i="9"/>
  <c r="M54" i="9"/>
  <c r="N54" i="9"/>
  <c r="O54" i="9"/>
  <c r="P54" i="9"/>
  <c r="Q54" i="9"/>
  <c r="S54" i="9"/>
  <c r="D55" i="9"/>
  <c r="E55" i="9"/>
  <c r="F55" i="9"/>
  <c r="G55" i="9"/>
  <c r="H55" i="9"/>
  <c r="I55" i="9"/>
  <c r="J55" i="9"/>
  <c r="K55" i="9"/>
  <c r="L55" i="9"/>
  <c r="M55" i="9"/>
  <c r="N55" i="9"/>
  <c r="O55" i="9"/>
  <c r="P55" i="9"/>
  <c r="Q55" i="9"/>
  <c r="S55" i="9"/>
  <c r="D56" i="9"/>
  <c r="E56" i="9"/>
  <c r="F56" i="9"/>
  <c r="G56" i="9"/>
  <c r="H56" i="9"/>
  <c r="I56" i="9"/>
  <c r="J56" i="9"/>
  <c r="K56" i="9"/>
  <c r="L56" i="9"/>
  <c r="M56" i="9"/>
  <c r="N56" i="9"/>
  <c r="O56" i="9"/>
  <c r="P56" i="9"/>
  <c r="Q56" i="9"/>
  <c r="S56" i="9"/>
  <c r="D57" i="9"/>
  <c r="E57" i="9"/>
  <c r="F57" i="9"/>
  <c r="G57" i="9"/>
  <c r="H57" i="9"/>
  <c r="I57" i="9"/>
  <c r="J57" i="9"/>
  <c r="K57" i="9"/>
  <c r="L57" i="9"/>
  <c r="M57" i="9"/>
  <c r="N57" i="9"/>
  <c r="O57" i="9"/>
  <c r="P57" i="9"/>
  <c r="Q57" i="9"/>
  <c r="S57" i="9"/>
  <c r="D58" i="9"/>
  <c r="E58" i="9"/>
  <c r="F58" i="9"/>
  <c r="G58" i="9"/>
  <c r="H58" i="9"/>
  <c r="I58" i="9"/>
  <c r="J58" i="9"/>
  <c r="K58" i="9"/>
  <c r="L58" i="9"/>
  <c r="M58" i="9"/>
  <c r="N58" i="9"/>
  <c r="O58" i="9"/>
  <c r="P58" i="9"/>
  <c r="Q58" i="9"/>
  <c r="S58" i="9"/>
  <c r="D59" i="9"/>
  <c r="E59" i="9"/>
  <c r="F59" i="9"/>
  <c r="G59" i="9"/>
  <c r="H59" i="9"/>
  <c r="I59" i="9"/>
  <c r="J59" i="9"/>
  <c r="K59" i="9"/>
  <c r="L59" i="9"/>
  <c r="M59" i="9"/>
  <c r="N59" i="9"/>
  <c r="O59" i="9"/>
  <c r="P59" i="9"/>
  <c r="Q59" i="9"/>
  <c r="S59" i="9"/>
  <c r="D60" i="9"/>
  <c r="E60" i="9"/>
  <c r="F60" i="9"/>
  <c r="G60" i="9"/>
  <c r="H60" i="9"/>
  <c r="I60" i="9"/>
  <c r="J60" i="9"/>
  <c r="K60" i="9"/>
  <c r="L60" i="9"/>
  <c r="M60" i="9"/>
  <c r="N60" i="9"/>
  <c r="O60" i="9"/>
  <c r="P60" i="9"/>
  <c r="Q60" i="9"/>
  <c r="S60" i="9"/>
  <c r="D61" i="9"/>
  <c r="E61" i="9"/>
  <c r="F61" i="9"/>
  <c r="G61" i="9"/>
  <c r="H61" i="9"/>
  <c r="I61" i="9"/>
  <c r="J61" i="9"/>
  <c r="K61" i="9"/>
  <c r="L61" i="9"/>
  <c r="M61" i="9"/>
  <c r="N61" i="9"/>
  <c r="O61" i="9"/>
  <c r="P61" i="9"/>
  <c r="Q61" i="9"/>
  <c r="S61" i="9"/>
  <c r="D62" i="9"/>
  <c r="E62" i="9"/>
  <c r="F62" i="9"/>
  <c r="G62" i="9"/>
  <c r="H62" i="9"/>
  <c r="I62" i="9"/>
  <c r="J62" i="9"/>
  <c r="K62" i="9"/>
  <c r="L62" i="9"/>
  <c r="M62" i="9"/>
  <c r="N62" i="9"/>
  <c r="O62" i="9"/>
  <c r="P62" i="9"/>
  <c r="Q62" i="9"/>
  <c r="S62" i="9"/>
  <c r="D63" i="9"/>
  <c r="E63" i="9"/>
  <c r="F63" i="9"/>
  <c r="G63" i="9"/>
  <c r="H63" i="9"/>
  <c r="I63" i="9"/>
  <c r="J63" i="9"/>
  <c r="K63" i="9"/>
  <c r="L63" i="9"/>
  <c r="M63" i="9"/>
  <c r="N63" i="9"/>
  <c r="O63" i="9"/>
  <c r="P63" i="9"/>
  <c r="Q63" i="9"/>
  <c r="S63" i="9"/>
  <c r="D64" i="9"/>
  <c r="E64" i="9"/>
  <c r="F64" i="9"/>
  <c r="G64" i="9"/>
  <c r="H64" i="9"/>
  <c r="I64" i="9"/>
  <c r="J64" i="9"/>
  <c r="K64" i="9"/>
  <c r="L64" i="9"/>
  <c r="M64" i="9"/>
  <c r="N64" i="9"/>
  <c r="O64" i="9"/>
  <c r="P64" i="9"/>
  <c r="Q64" i="9"/>
  <c r="S64" i="9"/>
  <c r="D65" i="9"/>
  <c r="E65" i="9"/>
  <c r="F65" i="9"/>
  <c r="G65" i="9"/>
  <c r="H65" i="9"/>
  <c r="I65" i="9"/>
  <c r="J65" i="9"/>
  <c r="K65" i="9"/>
  <c r="L65" i="9"/>
  <c r="M65" i="9"/>
  <c r="N65" i="9"/>
  <c r="O65" i="9"/>
  <c r="P65" i="9"/>
  <c r="Q65" i="9"/>
  <c r="S65" i="9"/>
  <c r="D66" i="9"/>
  <c r="E66" i="9"/>
  <c r="F66" i="9"/>
  <c r="G66" i="9"/>
  <c r="H66" i="9"/>
  <c r="I66" i="9"/>
  <c r="J66" i="9"/>
  <c r="K66" i="9"/>
  <c r="L66" i="9"/>
  <c r="M66" i="9"/>
  <c r="N66" i="9"/>
  <c r="O66" i="9"/>
  <c r="P66" i="9"/>
  <c r="Q66" i="9"/>
  <c r="S66" i="9"/>
  <c r="D67" i="9"/>
  <c r="E67" i="9"/>
  <c r="F67" i="9"/>
  <c r="G67" i="9"/>
  <c r="H67" i="9"/>
  <c r="I67" i="9"/>
  <c r="J67" i="9"/>
  <c r="K67" i="9"/>
  <c r="L67" i="9"/>
  <c r="M67" i="9"/>
  <c r="N67" i="9"/>
  <c r="O67" i="9"/>
  <c r="P67" i="9"/>
  <c r="Q67" i="9"/>
  <c r="S67" i="9"/>
  <c r="D68" i="9"/>
  <c r="E68" i="9"/>
  <c r="F68" i="9"/>
  <c r="G68" i="9"/>
  <c r="H68" i="9"/>
  <c r="I68" i="9"/>
  <c r="J68" i="9"/>
  <c r="K68" i="9"/>
  <c r="L68" i="9"/>
  <c r="M68" i="9"/>
  <c r="N68" i="9"/>
  <c r="O68" i="9"/>
  <c r="P68" i="9"/>
  <c r="Q68" i="9"/>
  <c r="S68" i="9"/>
  <c r="D69" i="9"/>
  <c r="E69" i="9"/>
  <c r="F69" i="9"/>
  <c r="G69" i="9"/>
  <c r="H69" i="9"/>
  <c r="I69" i="9"/>
  <c r="J69" i="9"/>
  <c r="K69" i="9"/>
  <c r="L69" i="9"/>
  <c r="M69" i="9"/>
  <c r="N69" i="9"/>
  <c r="O69" i="9"/>
  <c r="P69" i="9"/>
  <c r="Q69" i="9"/>
  <c r="S69" i="9"/>
  <c r="D70" i="9"/>
  <c r="E70" i="9"/>
  <c r="F70" i="9"/>
  <c r="G70" i="9"/>
  <c r="H70" i="9"/>
  <c r="I70" i="9"/>
  <c r="J70" i="9"/>
  <c r="K70" i="9"/>
  <c r="L70" i="9"/>
  <c r="M70" i="9"/>
  <c r="N70" i="9"/>
  <c r="O70" i="9"/>
  <c r="P70" i="9"/>
  <c r="Q70" i="9"/>
  <c r="S70" i="9"/>
  <c r="D71" i="9"/>
  <c r="E71" i="9"/>
  <c r="F71" i="9"/>
  <c r="G71" i="9"/>
  <c r="H71" i="9"/>
  <c r="I71" i="9"/>
  <c r="J71" i="9"/>
  <c r="K71" i="9"/>
  <c r="L71" i="9"/>
  <c r="M71" i="9"/>
  <c r="N71" i="9"/>
  <c r="O71" i="9"/>
  <c r="P71" i="9"/>
  <c r="Q71" i="9"/>
  <c r="S71" i="9"/>
  <c r="D72" i="9"/>
  <c r="E72" i="9"/>
  <c r="F72" i="9"/>
  <c r="G72" i="9"/>
  <c r="H72" i="9"/>
  <c r="I72" i="9"/>
  <c r="J72" i="9"/>
  <c r="K72" i="9"/>
  <c r="L72" i="9"/>
  <c r="M72" i="9"/>
  <c r="N72" i="9"/>
  <c r="O72" i="9"/>
  <c r="P72" i="9"/>
  <c r="Q72" i="9"/>
  <c r="S72" i="9"/>
  <c r="D73" i="9"/>
  <c r="E73" i="9"/>
  <c r="F73" i="9"/>
  <c r="G73" i="9"/>
  <c r="H73" i="9"/>
  <c r="I73" i="9"/>
  <c r="J73" i="9"/>
  <c r="K73" i="9"/>
  <c r="L73" i="9"/>
  <c r="M73" i="9"/>
  <c r="N73" i="9"/>
  <c r="O73" i="9"/>
  <c r="P73" i="9"/>
  <c r="Q73" i="9"/>
  <c r="S73" i="9"/>
  <c r="D74" i="9"/>
  <c r="E74" i="9"/>
  <c r="F74" i="9"/>
  <c r="G74" i="9"/>
  <c r="H74" i="9"/>
  <c r="I74" i="9"/>
  <c r="J74" i="9"/>
  <c r="K74" i="9"/>
  <c r="L74" i="9"/>
  <c r="M74" i="9"/>
  <c r="N74" i="9"/>
  <c r="O74" i="9"/>
  <c r="P74" i="9"/>
  <c r="Q74" i="9"/>
  <c r="S74" i="9"/>
  <c r="D75" i="9"/>
  <c r="E75" i="9"/>
  <c r="F75" i="9"/>
  <c r="G75" i="9"/>
  <c r="H75" i="9"/>
  <c r="I75" i="9"/>
  <c r="J75" i="9"/>
  <c r="K75" i="9"/>
  <c r="L75" i="9"/>
  <c r="M75" i="9"/>
  <c r="N75" i="9"/>
  <c r="O75" i="9"/>
  <c r="P75" i="9"/>
  <c r="Q75" i="9"/>
  <c r="S75" i="9"/>
  <c r="D76" i="9"/>
  <c r="E76" i="9"/>
  <c r="F76" i="9"/>
  <c r="G76" i="9"/>
  <c r="H76" i="9"/>
  <c r="I76" i="9"/>
  <c r="J76" i="9"/>
  <c r="K76" i="9"/>
  <c r="L76" i="9"/>
  <c r="M76" i="9"/>
  <c r="N76" i="9"/>
  <c r="O76" i="9"/>
  <c r="P76" i="9"/>
  <c r="Q76" i="9"/>
  <c r="S76" i="9"/>
  <c r="D77" i="9"/>
  <c r="E77" i="9"/>
  <c r="F77" i="9"/>
  <c r="G77" i="9"/>
  <c r="H77" i="9"/>
  <c r="I77" i="9"/>
  <c r="J77" i="9"/>
  <c r="K77" i="9"/>
  <c r="L77" i="9"/>
  <c r="M77" i="9"/>
  <c r="N77" i="9"/>
  <c r="O77" i="9"/>
  <c r="P77" i="9"/>
  <c r="Q77" i="9"/>
  <c r="S77" i="9"/>
  <c r="D78" i="9"/>
  <c r="E78" i="9"/>
  <c r="F78" i="9"/>
  <c r="G78" i="9"/>
  <c r="H78" i="9"/>
  <c r="I78" i="9"/>
  <c r="J78" i="9"/>
  <c r="K78" i="9"/>
  <c r="L78" i="9"/>
  <c r="M78" i="9"/>
  <c r="N78" i="9"/>
  <c r="O78" i="9"/>
  <c r="P78" i="9"/>
  <c r="Q78" i="9"/>
  <c r="S78" i="9"/>
  <c r="D79" i="9"/>
  <c r="E79" i="9"/>
  <c r="F79" i="9"/>
  <c r="G79" i="9"/>
  <c r="H79" i="9"/>
  <c r="I79" i="9"/>
  <c r="J79" i="9"/>
  <c r="K79" i="9"/>
  <c r="L79" i="9"/>
  <c r="M79" i="9"/>
  <c r="N79" i="9"/>
  <c r="O79" i="9"/>
  <c r="P79" i="9"/>
  <c r="Q79" i="9"/>
  <c r="S79" i="9"/>
  <c r="D80" i="9"/>
  <c r="E80" i="9"/>
  <c r="F80" i="9"/>
  <c r="G80" i="9"/>
  <c r="H80" i="9"/>
  <c r="I80" i="9"/>
  <c r="J80" i="9"/>
  <c r="K80" i="9"/>
  <c r="L80" i="9"/>
  <c r="M80" i="9"/>
  <c r="N80" i="9"/>
  <c r="O80" i="9"/>
  <c r="P80" i="9"/>
  <c r="Q80" i="9"/>
  <c r="S80" i="9"/>
  <c r="D81" i="9"/>
  <c r="E81" i="9"/>
  <c r="F81" i="9"/>
  <c r="G81" i="9"/>
  <c r="H81" i="9"/>
  <c r="I81" i="9"/>
  <c r="J81" i="9"/>
  <c r="K81" i="9"/>
  <c r="L81" i="9"/>
  <c r="M81" i="9"/>
  <c r="N81" i="9"/>
  <c r="O81" i="9"/>
  <c r="P81" i="9"/>
  <c r="Q81" i="9"/>
  <c r="S81" i="9"/>
  <c r="D82" i="9"/>
  <c r="E82" i="9"/>
  <c r="F82" i="9"/>
  <c r="G82" i="9"/>
  <c r="H82" i="9"/>
  <c r="I82" i="9"/>
  <c r="J82" i="9"/>
  <c r="K82" i="9"/>
  <c r="L82" i="9"/>
  <c r="M82" i="9"/>
  <c r="N82" i="9"/>
  <c r="O82" i="9"/>
  <c r="P82" i="9"/>
  <c r="Q82" i="9"/>
  <c r="S82" i="9"/>
  <c r="C90" i="9"/>
  <c r="C91" i="9"/>
  <c r="C93" i="9"/>
  <c r="C94" i="9"/>
  <c r="S13" i="9" l="1"/>
  <c r="U12" i="9"/>
  <c r="W10" i="9"/>
  <c r="V10" i="9"/>
  <c r="T10" i="9"/>
  <c r="T8" i="9"/>
  <c r="V8" i="9"/>
  <c r="W8" i="9"/>
  <c r="T7" i="9"/>
  <c r="V7" i="9"/>
  <c r="W7" i="9"/>
  <c r="V5" i="9"/>
  <c r="W5" i="9"/>
  <c r="T5" i="9"/>
  <c r="T11" i="9"/>
  <c r="V11" i="9"/>
  <c r="W11" i="9"/>
  <c r="V6" i="9"/>
  <c r="W6" i="9"/>
  <c r="T6" i="9"/>
  <c r="W4" i="9"/>
  <c r="T4" i="9"/>
  <c r="V4" i="9"/>
  <c r="W12" i="9"/>
  <c r="T12" i="9"/>
  <c r="V12" i="9"/>
  <c r="T9" i="9"/>
  <c r="V9" i="9"/>
  <c r="W9" i="9"/>
  <c r="A12" i="6" l="1"/>
  <c r="C4" i="6" l="1"/>
  <c r="D4" i="6"/>
  <c r="H32" i="6"/>
  <c r="F4" i="6"/>
  <c r="G4" i="6"/>
  <c r="H4" i="6"/>
  <c r="I4" i="6"/>
  <c r="J4" i="6"/>
  <c r="K4" i="6"/>
  <c r="L4" i="6"/>
  <c r="M4" i="6"/>
  <c r="N4" i="6"/>
  <c r="O4" i="6"/>
  <c r="P4" i="6"/>
  <c r="Q4" i="6"/>
  <c r="A4" i="6"/>
  <c r="A6" i="6"/>
  <c r="A7" i="6"/>
  <c r="A8" i="6"/>
  <c r="A9" i="6"/>
  <c r="A10" i="6"/>
  <c r="A11" i="6"/>
  <c r="A13" i="6"/>
  <c r="A14" i="6"/>
  <c r="A15" i="6"/>
  <c r="A16" i="6"/>
  <c r="A17" i="6"/>
  <c r="A18" i="6"/>
  <c r="A19" i="6"/>
  <c r="A20" i="6"/>
  <c r="A21" i="6"/>
  <c r="A22" i="6"/>
  <c r="A23" i="6"/>
  <c r="E4" i="6"/>
  <c r="M103" i="3" l="1"/>
  <c r="M96" i="3" s="1"/>
  <c r="P96" i="3" s="1"/>
  <c r="M111" i="3"/>
  <c r="M112" i="3"/>
  <c r="M104" i="3"/>
  <c r="M97" i="3" s="1"/>
  <c r="P97" i="3" s="1"/>
  <c r="M106" i="3"/>
  <c r="M99" i="3" s="1"/>
  <c r="P99" i="3" s="1"/>
  <c r="L103" i="3"/>
  <c r="L105" i="3"/>
  <c r="L106" i="3"/>
  <c r="L104" i="3"/>
  <c r="N98" i="3" l="1"/>
  <c r="M105" i="3" s="1"/>
  <c r="M98" i="3" s="1"/>
  <c r="P98"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<sst xmlns="http://schemas.openxmlformats.org/spreadsheetml/2006/main" count="1026" uniqueCount="635">
  <si>
    <t>System</t>
  </si>
  <si>
    <t>Invest</t>
  </si>
  <si>
    <t>KfW</t>
  </si>
  <si>
    <t xml:space="preserve"> -</t>
  </si>
  <si>
    <t>Gas</t>
  </si>
  <si>
    <t>Brennstoffzelle 750 Wel mit integriertem 220 LTrinkwasserspseicher (mit Spitzenlasst-Gasbrennwertkessel) [KFW Fest 5.700€ &amp; 450€ je 100W e-Leistung]</t>
  </si>
  <si>
    <t>Holz</t>
  </si>
  <si>
    <t xml:space="preserve">Strom </t>
  </si>
  <si>
    <t>Nah- und Fernwärme</t>
  </si>
  <si>
    <t>Optimierung Heizungsanlage</t>
  </si>
  <si>
    <t>*Angaben aus der Realität fehlen leider sehr oft!</t>
  </si>
  <si>
    <t>Alle Angaben sind ohne Gewähr und basieren ausschließlich auf Erfahrungswerten oder Schätzungen</t>
  </si>
  <si>
    <t>Jahresarbeitszahl</t>
  </si>
  <si>
    <t>Verbrauch [kWh] | kg</t>
  </si>
  <si>
    <t>Energiekosten 
ca. € je kWh</t>
  </si>
  <si>
    <t>Jahr</t>
  </si>
  <si>
    <t>25 Euro pro Tonne</t>
  </si>
  <si>
    <t>55 Euro pro Tonne</t>
  </si>
  <si>
    <t>ab 2026</t>
  </si>
  <si>
    <t>CO² und Preis</t>
  </si>
  <si>
    <t xml:space="preserve">Heizöl leicht </t>
  </si>
  <si>
    <t xml:space="preserve">Flüssiggas </t>
  </si>
  <si>
    <t xml:space="preserve">Erdgas </t>
  </si>
  <si>
    <t>Abzügl. Steuer 20% (Bezug auf max)</t>
  </si>
  <si>
    <t>(JAZ)</t>
  </si>
  <si>
    <t xml:space="preserve">t </t>
  </si>
  <si>
    <t>PV &amp; Strom</t>
  </si>
  <si>
    <t>Fernwärme</t>
  </si>
  <si>
    <t>*** auf Gas berechnet</t>
  </si>
  <si>
    <t>** keine Daten vorhanden</t>
  </si>
  <si>
    <t>Kg</t>
  </si>
  <si>
    <t>kWh</t>
  </si>
  <si>
    <t>**kWh</t>
  </si>
  <si>
    <t>****kWh</t>
  </si>
  <si>
    <t xml:space="preserve"> +einfache Installation
+hoher Nutzungsgrad
+zuverlässig &amp; bewärte Technik
-Lagerraum für Öltanks
-Ausstoß von Immesionen
-Fossiler Brennstoff
-Preisentwicklung unbekannt</t>
  </si>
  <si>
    <t xml:space="preserve"> +einfache Installation
+hoher Nutzungsgrad
+zuverlässig &amp; bewärte Technik
+ kein Lagerraum ggf. Gas Tank
-Ausstoß von Immesionen
-teilweise Fossiler Brennstoff
-Preisentwicklung unbekannt</t>
  </si>
  <si>
    <t>Teurer?</t>
  </si>
  <si>
    <t>CO2 Abgabe</t>
  </si>
  <si>
    <t>zB.:1,3</t>
  </si>
  <si>
    <t>Effizenzsteigerung*</t>
  </si>
  <si>
    <t>Effizenzsteigerung* (min | max)  | |
Energiekosten
(Bezug auf min) | 
Energiekosten
(Bezug auf max)
ohne CO2 Abgabe</t>
  </si>
  <si>
    <t>Anmerkungen:</t>
  </si>
  <si>
    <t>**** CO2 Steuer auf Strom ist aktuell nicht angedacht. Rein Informativ!</t>
  </si>
  <si>
    <t>IFB Erneuerbare Wärme</t>
  </si>
  <si>
    <t>1.500 plus 40€ je kW</t>
  </si>
  <si>
    <t>4.200 plus 100€ je kW</t>
  </si>
  <si>
    <t>-</t>
  </si>
  <si>
    <t>45€ je kW</t>
  </si>
  <si>
    <t>4.200 plus 100€ je kW |15% Zuschuss</t>
  </si>
  <si>
    <t>Holzvergaserkessel mit externen Trinkwasserspeicher 200 Liter
(IFB Biomasseanlagen werden nur dann gefördert, wenn keine unmittelbares Gas oder Wärmenetz vorliegt)</t>
  </si>
  <si>
    <t>Pelletkessel mit externen Trinkwasserspeicher 200 Liter 
(IFB Biomasseanlagen werden nur dann gefördert, wenn keine unmittelbares Gas oder Wärmenetz vorliegt)</t>
  </si>
  <si>
    <t>Pelletkessel Pufferspeicher 1000 Liter, Trinkwasserspeicher 200L, 10m2 Solaranlage
(IFB Biomasseanlagen werden nur dann gefördert, wenn keine unmittelbares Gas oder Wärmenetz vorliegt)</t>
  </si>
  <si>
    <t>400€ je m³</t>
  </si>
  <si>
    <t>vielleicht Günstiger</t>
  </si>
  <si>
    <t>Prognose! Ohne bezug zum Bestandssystem</t>
  </si>
  <si>
    <t>Lieferkosten | Grundkosten im Jahr | Strom für Pumpen</t>
  </si>
  <si>
    <t>50€ | 0€ | 450€</t>
  </si>
  <si>
    <t>0€ | 150€ | 80€</t>
  </si>
  <si>
    <t>50€ | 0€ | 80€</t>
  </si>
  <si>
    <t>0€ | 180€ | 0€</t>
  </si>
  <si>
    <t>0€ | 0€ | 80€</t>
  </si>
  <si>
    <t>0€ | 50€ | 80€</t>
  </si>
  <si>
    <t xml:space="preserve">ÖL
</t>
  </si>
  <si>
    <t>Gas Brennwert mit externen Trinkwasserspeicher 160 Liter
(ggf. Bestand)</t>
  </si>
  <si>
    <t>Spezifischer Leistungsbedarf verschiedener Gebäudearten und Baujahre</t>
  </si>
  <si>
    <t>Baujahr / Gebäudeart</t>
  </si>
  <si>
    <t>bis 1958</t>
  </si>
  <si>
    <r>
      <t>180 W/m</t>
    </r>
    <r>
      <rPr>
        <vertAlign val="superscript"/>
        <sz val="10"/>
        <color theme="1"/>
        <rFont val="Arial"/>
        <family val="2"/>
      </rPr>
      <t>2</t>
    </r>
  </si>
  <si>
    <r>
      <t>160 W/m</t>
    </r>
    <r>
      <rPr>
        <vertAlign val="superscript"/>
        <sz val="10"/>
        <color theme="1"/>
        <rFont val="Arial"/>
        <family val="2"/>
      </rPr>
      <t>2</t>
    </r>
  </si>
  <si>
    <r>
      <t>140 W/m</t>
    </r>
    <r>
      <rPr>
        <vertAlign val="superscript"/>
        <sz val="10"/>
        <color theme="1"/>
        <rFont val="Arial"/>
        <family val="2"/>
      </rPr>
      <t>2</t>
    </r>
  </si>
  <si>
    <r>
      <t>130 W/m</t>
    </r>
    <r>
      <rPr>
        <vertAlign val="superscript"/>
        <sz val="10"/>
        <color theme="1"/>
        <rFont val="Arial"/>
        <family val="2"/>
      </rPr>
      <t>2</t>
    </r>
  </si>
  <si>
    <t>1959-68</t>
  </si>
  <si>
    <r>
      <t>170 W/m</t>
    </r>
    <r>
      <rPr>
        <vertAlign val="superscript"/>
        <sz val="10"/>
        <color theme="1"/>
        <rFont val="Arial"/>
        <family val="2"/>
      </rPr>
      <t>2</t>
    </r>
  </si>
  <si>
    <r>
      <t>150 W/m</t>
    </r>
    <r>
      <rPr>
        <vertAlign val="superscript"/>
        <sz val="10"/>
        <color theme="1"/>
        <rFont val="Arial"/>
        <family val="2"/>
      </rPr>
      <t>2</t>
    </r>
  </si>
  <si>
    <r>
      <t>120 W/m</t>
    </r>
    <r>
      <rPr>
        <vertAlign val="superscript"/>
        <sz val="10"/>
        <color theme="1"/>
        <rFont val="Arial"/>
        <family val="2"/>
      </rPr>
      <t>2</t>
    </r>
  </si>
  <si>
    <t>1969-73</t>
  </si>
  <si>
    <r>
      <t>110 W/m</t>
    </r>
    <r>
      <rPr>
        <vertAlign val="superscript"/>
        <sz val="10"/>
        <color theme="1"/>
        <rFont val="Arial"/>
        <family val="2"/>
      </rPr>
      <t>2</t>
    </r>
  </si>
  <si>
    <t>1974-77</t>
  </si>
  <si>
    <r>
      <t>115 W/m</t>
    </r>
    <r>
      <rPr>
        <vertAlign val="superscript"/>
        <sz val="10"/>
        <color theme="1"/>
        <rFont val="Arial"/>
        <family val="2"/>
      </rPr>
      <t>2</t>
    </r>
  </si>
  <si>
    <r>
      <t>100 W/m</t>
    </r>
    <r>
      <rPr>
        <vertAlign val="superscript"/>
        <sz val="10"/>
        <color theme="1"/>
        <rFont val="Arial"/>
        <family val="2"/>
      </rPr>
      <t>2</t>
    </r>
  </si>
  <si>
    <r>
      <t>75 W/m</t>
    </r>
    <r>
      <rPr>
        <vertAlign val="superscript"/>
        <sz val="10"/>
        <color theme="1"/>
        <rFont val="Arial"/>
        <family val="2"/>
      </rPr>
      <t>2</t>
    </r>
  </si>
  <si>
    <t>1978-83</t>
  </si>
  <si>
    <r>
      <t>95 W/m</t>
    </r>
    <r>
      <rPr>
        <vertAlign val="superscript"/>
        <sz val="10"/>
        <color theme="1"/>
        <rFont val="Arial"/>
        <family val="2"/>
      </rPr>
      <t>2</t>
    </r>
  </si>
  <si>
    <r>
      <t>90 W/m</t>
    </r>
    <r>
      <rPr>
        <vertAlign val="superscript"/>
        <sz val="10"/>
        <color theme="1"/>
        <rFont val="Arial"/>
        <family val="2"/>
      </rPr>
      <t>2</t>
    </r>
  </si>
  <si>
    <r>
      <t>85 W/m</t>
    </r>
    <r>
      <rPr>
        <vertAlign val="superscript"/>
        <sz val="10"/>
        <color theme="1"/>
        <rFont val="Arial"/>
        <family val="2"/>
      </rPr>
      <t>2</t>
    </r>
  </si>
  <si>
    <r>
      <t>65 W/m</t>
    </r>
    <r>
      <rPr>
        <vertAlign val="superscript"/>
        <sz val="10"/>
        <color theme="1"/>
        <rFont val="Arial"/>
        <family val="2"/>
      </rPr>
      <t>2</t>
    </r>
  </si>
  <si>
    <t>1984-94</t>
  </si>
  <si>
    <r>
      <t>70 W/m</t>
    </r>
    <r>
      <rPr>
        <vertAlign val="superscript"/>
        <sz val="10"/>
        <color theme="1"/>
        <rFont val="Arial"/>
        <family val="2"/>
      </rPr>
      <t>2</t>
    </r>
  </si>
  <si>
    <r>
      <t>60 W/m</t>
    </r>
    <r>
      <rPr>
        <vertAlign val="superscript"/>
        <sz val="10"/>
        <color theme="1"/>
        <rFont val="Arial"/>
        <family val="2"/>
      </rPr>
      <t>2</t>
    </r>
  </si>
  <si>
    <t>ab 1995</t>
  </si>
  <si>
    <r>
      <t>55 W/m</t>
    </r>
    <r>
      <rPr>
        <vertAlign val="superscript"/>
        <sz val="10"/>
        <color theme="1"/>
        <rFont val="Arial"/>
        <family val="2"/>
      </rPr>
      <t>2</t>
    </r>
  </si>
  <si>
    <r>
      <t>50 W/m</t>
    </r>
    <r>
      <rPr>
        <vertAlign val="superscript"/>
        <sz val="10"/>
        <color theme="1"/>
        <rFont val="Arial"/>
        <family val="2"/>
      </rPr>
      <t>2</t>
    </r>
  </si>
  <si>
    <r>
      <t>45 W/m</t>
    </r>
    <r>
      <rPr>
        <vertAlign val="superscript"/>
        <sz val="10"/>
        <color theme="1"/>
        <rFont val="Arial"/>
        <family val="2"/>
      </rPr>
      <t>2</t>
    </r>
  </si>
  <si>
    <t>Heizleistung KW</t>
  </si>
  <si>
    <t>Wohnfläche m² /
    Kesselleistung kW</t>
  </si>
  <si>
    <t>EFH</t>
  </si>
  <si>
    <t>MFH</t>
  </si>
  <si>
    <t>Vollbenutzungsstunden (h/a)  / 
     Heizwärmebedarf kWh/a</t>
  </si>
  <si>
    <t>EFH ohne Zirkulation 800 kWh /a</t>
  </si>
  <si>
    <t>EFH mit Zirkulation 1500 kWh/a</t>
  </si>
  <si>
    <t>MFH mit Zirkulation 1300 kWh/a</t>
  </si>
  <si>
    <t>12 kWh/m² x 200 m² = 2.400 kWh (nach Norm)</t>
  </si>
  <si>
    <t>kWh/a pro Person</t>
  </si>
  <si>
    <t>1 Person</t>
  </si>
  <si>
    <t>2 Person</t>
  </si>
  <si>
    <t>3 Person</t>
  </si>
  <si>
    <t>4 Person</t>
  </si>
  <si>
    <t>5 Person</t>
  </si>
  <si>
    <t xml:space="preserve">Heizlastabschätzung </t>
  </si>
  <si>
    <t>Nennleistung</t>
  </si>
  <si>
    <t>kW</t>
  </si>
  <si>
    <t>h/ a</t>
  </si>
  <si>
    <t xml:space="preserve"> Betriebsstunden gemessen</t>
  </si>
  <si>
    <t xml:space="preserve"> Betriebsstunden annahme</t>
  </si>
  <si>
    <t>Typenschild</t>
  </si>
  <si>
    <t>Messung aus Anlage</t>
  </si>
  <si>
    <t>Annahme</t>
  </si>
  <si>
    <t xml:space="preserve">fDim = PN / Ptot </t>
  </si>
  <si>
    <r>
      <rPr>
        <b/>
        <sz val="12"/>
        <color theme="1"/>
        <rFont val="Arial"/>
        <family val="2"/>
      </rPr>
      <t>Warmwasserbereitung</t>
    </r>
    <r>
      <rPr>
        <sz val="10"/>
        <color theme="1"/>
        <rFont val="Arial"/>
        <family val="2"/>
      </rPr>
      <t xml:space="preserve"> = 12 kWh/m² x Wohnfläche</t>
    </r>
  </si>
  <si>
    <r>
      <t xml:space="preserve">Notwendige </t>
    </r>
    <r>
      <rPr>
        <sz val="11"/>
        <color theme="1"/>
        <rFont val="Calibri"/>
        <family val="2"/>
      </rPr>
      <t>temperaturen in der Wasserinstallationsanlage:</t>
    </r>
  </si>
  <si>
    <t>Kaltwasser</t>
  </si>
  <si>
    <t>&lt; 25</t>
  </si>
  <si>
    <t>Trinkwasser, warm (TWW)</t>
  </si>
  <si>
    <t>≥ 60</t>
  </si>
  <si>
    <r>
      <t>TWW</t>
    </r>
    <r>
      <rPr>
        <sz val="11"/>
        <color theme="1"/>
        <rFont val="Calibri"/>
        <family val="2"/>
      </rPr>
      <t>­ Zirkulation, Eingang Speicher</t>
    </r>
  </si>
  <si>
    <t>≥ 55</t>
  </si>
  <si>
    <r>
      <t>zu vermeidender Temperaturbereich</t>
    </r>
    <r>
      <rPr>
        <sz val="11"/>
        <color theme="1"/>
        <rFont val="Calibri"/>
        <family val="2"/>
      </rPr>
      <t xml:space="preserve"> </t>
    </r>
  </si>
  <si>
    <t>25-54</t>
  </si>
  <si>
    <r>
      <t xml:space="preserve">Messstelle </t>
    </r>
    <r>
      <rPr>
        <sz val="10"/>
        <color theme="1"/>
        <rFont val="Calibri"/>
        <family val="2"/>
      </rPr>
      <t>Temperatur (in °C)</t>
    </r>
  </si>
  <si>
    <t>2,2</t>
  </si>
  <si>
    <t>2,3</t>
  </si>
  <si>
    <t>2,4</t>
  </si>
  <si>
    <t>Nummer</t>
  </si>
  <si>
    <t xml:space="preserve"> +gilt als CO2 neutral
+günstiger Brennstoff
+zuverlässig &amp; bewärte Technik
+Nachwachsender Rohstoff
+Scheitholz: sehr günstiger Brennstoff, falls aus eigenem Wald
+Pellets: vollautomatisches System
- Lagerraum für Brennstoff
-Ausstoß von Immesionen
-regelmäßige Leerung der Asche
-Scheitholz: Arbeitsaufwand, Leistung nicht regelbar
-Pellets: Brennstoff teurer und Hoher Invest</t>
  </si>
  <si>
    <t>GEG § 22 sowie Anlage 4: Primärenergiefaktoren</t>
  </si>
  <si>
    <t>Was ist schlechter und was ist besser?</t>
  </si>
  <si>
    <t>0,0 gebäudenah erzeugt</t>
  </si>
  <si>
    <t>1,1 oder  0 nicht eindeutig</t>
  </si>
  <si>
    <t>Das Verschlechterungsverbot für die energetische Qualität des Gebäudes nach den §§ 46 GEG und 57 GEG ist in Neubau und im Bestand zu beachten!</t>
  </si>
  <si>
    <t>LINKS</t>
  </si>
  <si>
    <t>Warum sind die Faktoren andere als nach GEMIS</t>
  </si>
  <si>
    <t>http://iinas.org/downloads-de.html</t>
  </si>
  <si>
    <t xml:space="preserve"> --&gt; Ich liebe diese politischen Zahlen / Daten / Fakten ...</t>
  </si>
  <si>
    <t>GEG §22Primärenergiefaktoren ("leichte Sprache" ist was anderes ;-)</t>
  </si>
  <si>
    <t>1,1 üblich | 0,7 bei Bioöl</t>
  </si>
  <si>
    <t>1,1 üblich |  0,7 bei Biomethan</t>
  </si>
  <si>
    <t>1,1 üblich |  0,5 bei Biomethan</t>
  </si>
  <si>
    <t xml:space="preserve">1,8 üblich </t>
  </si>
  <si>
    <t>https://www.verbraucherzentrale.de/wissen/energie/heizen-und-warmwasser/klimapaket-was-bedeutet-es-fuer-mieter-und-hausbesitzer-43806</t>
  </si>
  <si>
    <t>Für ein Bauchgefühl ein Vergleich aus 2017 -&gt; 
https://www.verbraucherzentrale-rlp.de/sites/default/files/2017-11/Einleger_Kostenvergleich_Heizungen%2024_08_2017_0.pdf</t>
  </si>
  <si>
    <t>Energieträger</t>
  </si>
  <si>
    <t>∅ Preis pro Kilowattstunde</t>
  </si>
  <si>
    <t>∅ Verbrauch pro Jahr</t>
  </si>
  <si>
    <t>∅ Heizkosten pro Jahr inklusive Heiznebenkosten</t>
  </si>
  <si>
    <t>Erdgas</t>
  </si>
  <si>
    <t>6,1 Cent</t>
  </si>
  <si>
    <t>17.240 kWh</t>
  </si>
  <si>
    <t>1.320 Euro</t>
  </si>
  <si>
    <t>Heizöl</t>
  </si>
  <si>
    <t>6,7 Cent</t>
  </si>
  <si>
    <t>17.820 kWh</t>
  </si>
  <si>
    <t>1.450 Euro</t>
  </si>
  <si>
    <t>9,1 Cent</t>
  </si>
  <si>
    <t>14.850 kWh</t>
  </si>
  <si>
    <t>1.575 Euro</t>
  </si>
  <si>
    <t>Wärmepumpe</t>
  </si>
  <si>
    <t>22,1 Cent</t>
  </si>
  <si>
    <t>4.730 kWh</t>
  </si>
  <si>
    <t>1.265 Euro</t>
  </si>
  <si>
    <t>Holzpellets</t>
  </si>
  <si>
    <t>5,1 Cent</t>
  </si>
  <si>
    <t>14.410 kWh</t>
  </si>
  <si>
    <t>1.000 Euro</t>
  </si>
  <si>
    <t>Holzschnitzel</t>
  </si>
  <si>
    <t>3,2 Cent</t>
  </si>
  <si>
    <t>16.500 kWh</t>
  </si>
  <si>
    <t>810 Euro</t>
  </si>
  <si>
    <t>https://www.co2online.de/fileadmin/hs/heizspiegel/heizspiegel-2020/heizspiegel-2020.pdf</t>
  </si>
  <si>
    <t xml:space="preserve">Vergleich Heizung  | Strom </t>
  </si>
  <si>
    <t>https://www.stromspiegel.de/fileadmin/ssi/stromspiegel/Broschuere/stromspiegel-2021.pdf</t>
  </si>
  <si>
    <t>https://www.ihk.de/themen/umwelt-und-energie/co2-preisrechner</t>
  </si>
  <si>
    <r>
      <t xml:space="preserve">Öl-Brennwert mit externen Trinkwasserspeicher 160 Liter
(ggf. Bestand) </t>
    </r>
    <r>
      <rPr>
        <sz val="8"/>
        <color theme="1"/>
        <rFont val="Arial"/>
        <family val="2"/>
      </rPr>
      <t>BIOMETHAN/BIOÖL (15 % Biomethan oder Heizöl mit einem Anteil von 15 % Bioöl ist auch eine Option zur Pflichterfüllung in Hamburg.Rechnung muss jährlich vorgelegt werden. „Klimagas“, „Ökogas“, „Kompensationsgas“, o.ä. also reines Erdgas, dessen CO2-Emissionen über Klimaschutzprojekte kompensiert werden, gelten nicht! Bei Anlagen &gt; 50 kW muss hocheffiziente KWK eingesetzt werden, bei kleinerer Leistung reicht eine Brennwertanlage.)</t>
    </r>
  </si>
  <si>
    <r>
      <t xml:space="preserve">Blockheizkraftwerk mit externen 1000 Liter Pufferspeicher
</t>
    </r>
    <r>
      <rPr>
        <sz val="8"/>
        <color theme="1"/>
        <rFont val="Arial"/>
        <family val="2"/>
      </rPr>
      <t>BIOMETHAN/BIOÖL (15 % Biomethan oder Heizöl mit einem Anteil von 15 % Bioöl ist auch eine Option zur Pflichterfüllung in Hamburg.Rechnung muss jährlich vorgelegt werden. „Klimagas“, „Ökogas“, „Kompensationsgas“, o.ä. also reines Erdgas, dessen CO2-Emissionen über Klimaschutzprojekte kompensiert werden, gelten nicht! Bei Anlagen &gt; 50 kW muss hocheffiziente KWK eingesetzt werden, bei kleinerer Leistung reicht eine Brennwertanlage.)</t>
    </r>
  </si>
  <si>
    <r>
      <t xml:space="preserve">Gas Brennwert mit integriertem Trinkwasserspeicher
(ggf. Bestand) </t>
    </r>
    <r>
      <rPr>
        <sz val="8"/>
        <color theme="1"/>
        <rFont val="Arial"/>
        <family val="2"/>
      </rPr>
      <t>BIOMETHAN/BIOÖL (15 % Biomethan oder Heizöl mit einem Anteil von 15 % Bioöl ist auch eine Option zur Pflichterfüllung in Hamburg.Rechnung muss jährlich vorgelegt werden. „Klimagas“, „Ökogas“, „Kompensationsgas“, o.ä. also reines Erdgas, dessen CO2-Emissionen über Klimaschutzprojekte kompensiert werden, gelten nicht! Bei Anlagen &gt; 50 kW muss hocheffiziente KWK eingesetzt werden, bei kleinerer Leistung reicht eine Brennwertanlage.)</t>
    </r>
  </si>
  <si>
    <t>CO2 nach Steuerrecht….</t>
  </si>
  <si>
    <t>https://www.bafa.de/DE/Energie/Effiziente_Gebaeude/effiziente_gebaeude_node.html</t>
  </si>
  <si>
    <t>https://www.ifbhh.de/programme/privatkunden/eigenheim-modernisieren/energetisch-modernisieren-privat/erneuerbare-waerme</t>
  </si>
  <si>
    <t>BUND</t>
  </si>
  <si>
    <t>Land HH</t>
  </si>
  <si>
    <t>http://www.bgbl.de/xaver/bgbl/start.xav?startbk=Bundesanzeiger_BGBl&amp;jumpTo=bgbl120s1728.pdf</t>
  </si>
  <si>
    <t>Das wäre eine Tabelle die leicht verständlich wäre…</t>
  </si>
  <si>
    <t>Strom</t>
  </si>
  <si>
    <t>Flüssiggas</t>
  </si>
  <si>
    <t>Diesel</t>
  </si>
  <si>
    <t>Benzin</t>
  </si>
  <si>
    <t>1t CO2 = kwh</t>
  </si>
  <si>
    <t xml:space="preserve">CO2 [g] je kWh </t>
  </si>
  <si>
    <t xml:space="preserve">CO2 [kg] je kWh </t>
  </si>
  <si>
    <t>CO2 [kg] je L</t>
  </si>
  <si>
    <t>Liter</t>
  </si>
  <si>
    <t>Kosten</t>
  </si>
  <si>
    <t>€  je kWh</t>
  </si>
  <si>
    <t>Differenz</t>
  </si>
  <si>
    <t>Nebenrechnung bei ÖL</t>
  </si>
  <si>
    <r>
      <t xml:space="preserve">Wohnfläche [m²]
</t>
    </r>
    <r>
      <rPr>
        <sz val="6"/>
        <color theme="1"/>
        <rFont val="Arial"/>
        <family val="2"/>
      </rPr>
      <t>(nach zB. Unterlagen zum Bauantrag)</t>
    </r>
  </si>
  <si>
    <t>vermutlich 100 bis 200 Euro Tonne</t>
  </si>
  <si>
    <t>CO² Preis je Tonne</t>
  </si>
  <si>
    <t>https://www.verbraucherzentrale.nrw/wissen/energie/erneuerbare-energien/heizungsfoerderung-fuer-bestandsgebaeude-heizen-mit-erneuerbaren-10773</t>
  </si>
  <si>
    <t>nach GEG</t>
  </si>
  <si>
    <t>nach CO2 Abgabe</t>
  </si>
  <si>
    <r>
      <t>CO2 [</t>
    </r>
    <r>
      <rPr>
        <b/>
        <sz val="10"/>
        <color theme="1"/>
        <rFont val="Arial"/>
        <family val="2"/>
      </rPr>
      <t>kg]</t>
    </r>
    <r>
      <rPr>
        <sz val="10"/>
        <color theme="1"/>
        <rFont val="Arial"/>
        <family val="2"/>
      </rPr>
      <t xml:space="preserve"> je kWh </t>
    </r>
  </si>
  <si>
    <r>
      <t>CO2 [</t>
    </r>
    <r>
      <rPr>
        <b/>
        <sz val="10"/>
        <color theme="1"/>
        <rFont val="Arial"/>
        <family val="2"/>
      </rPr>
      <t>g]</t>
    </r>
    <r>
      <rPr>
        <sz val="10"/>
        <color theme="1"/>
        <rFont val="Arial"/>
        <family val="2"/>
      </rPr>
      <t xml:space="preserve"> je kWh </t>
    </r>
  </si>
  <si>
    <t>Stannd  29.07.2020</t>
  </si>
  <si>
    <t>Stand 17.5.2021</t>
  </si>
  <si>
    <r>
      <t xml:space="preserve">Solarthermie 
</t>
    </r>
    <r>
      <rPr>
        <b/>
        <sz val="8"/>
        <color theme="1"/>
        <rFont val="Arial"/>
        <family val="2"/>
      </rPr>
      <t>als ergänzung für die Wärme-erzeuger</t>
    </r>
  </si>
  <si>
    <t xml:space="preserve"> +keine direkten  Emissionen
+wartungsarmer Betrieb
+zuverlässig &amp; bewärte Technik
+Platzsparend: kein Schornstein; kein Lagerraum für Brennstoff
+PV Anlagen/ Strom unterstützen die Anlagentechnik
-Ausstoß von Immesionen für Strom an anderem Ort
-Hohe Investition
-niedriege Vorlauftemperatur (idR. Flächenheizung) für wirtschaftlichen betrieb erforderlich
-eine Fachplanug ist empfohlen!!
Hinweis zu Geothermie!
-Genehmigung von Erdwärmebohrungen ist Ländersache_x0002_
-seit Jahren verschärft sich die Genehmigungssituation bei  Sondenanlagen (IFB Vorgaben beachten!)
-ggf. Bohrtiefenbegrenzungen _x0002_
-ggf. geforderte garantierte Soleaustrittstemperatur_x0002_
-Diskussion über Frost / Tauwechselbeständigkeit von Verpressmaterial_x0002_
-ggf. kostenverteuernden Massnahmen bei Sondenbohrungen beachten
-ggf. Genehmigung von Sonden mit Wasser als Wärmeträgermittel _x0002_
-ggf. vollständige Überwachung der Bohrung durch unabhängigen Geologen
-Verordnung über Anlagen zum Umgang mit wassergefährdenden Stoffen (VAUwS)  
-ggf. Genehmigungsverbot von Erdsonden in allen Wasserschutzzonen
=Lösung Eisspeicher!?
Zitat IFBHH: Erdwärmesonden &amp; Erdwärmekollektoren sind ...nach den Vorgaben der VDI-Richtlinie 4640, ...fachgerechte Errichtung durch ein Fachunternehmen sowie die Einhaltung der wasserwirtschaftlichen Anforderungen der zuständigen Wasserbehörde....Erdwärmesonden-Bohrungen sind nach den Qualitätsanforderungen der Technischen Regel DVGW W120-2 auszuführen....müssen die berechneten Jahresarbeitszahlen der zugehörigen Wärmepumpen mindestens 4,5 betragen...</t>
  </si>
  <si>
    <t xml:space="preserve">Die Gebäudehülle ist oftmals nur bedingt energetisch ertüchtigt:
-oft ergeben sich daraus hohe Heizlasten (Leistung des Wärmeerzeugers);
-hohe Vorlauftemperaturen werden für die Wärmeabgabe über Heizkörper erforderlich, bei Fächenheizungen ist die Vorlauftemperaturen oft gering und eine Wärmepumpe ist möglich;
-Begrenzter Platzbedarf unter Fenstern im Außenwandbereich und/oder nicht ausreichende Fläche für Niedertemperatursysteme oder Installation eines Gebläsekonvektors (z.B. AUK), aber alte Gusradiatoren sollten ausgetascht werden, hier ist der Vorlauf sehr hoch und kann durch Plattenheizköper getauscht werden.
</t>
  </si>
  <si>
    <r>
      <t>Bei Heizungsanlagen größer 50kW Leistung ist ein UfR-</t>
    </r>
    <r>
      <rPr>
        <b/>
        <sz val="10"/>
        <color theme="1"/>
        <rFont val="Arial"/>
        <family val="2"/>
      </rPr>
      <t>MessCheck empfohlen</t>
    </r>
    <r>
      <rPr>
        <sz val="10"/>
        <color theme="1"/>
        <rFont val="Arial"/>
        <family val="2"/>
      </rPr>
      <t>! Infos unter https://www.hamburg.de/heizungsnetzwerk/ | www.ifbhh.de&lt; &gt;UfR-MessCheck
Der Ergebnisbericht des UfR-MessCheck beschreibt den IST-Zustand, zeigt Optimierungsvorschläge auf und nennt die möglichen Einsparpotentiale sowie die hierfür erforderlichen Aufwendungen.</t>
    </r>
  </si>
  <si>
    <t>Schornsteinfeger | Wartung &amp; Instandhaltungskosten | erf. Rücklagen im Jahr über 15 Jahre Lebensdauer</t>
  </si>
  <si>
    <r>
      <t>Für Ein und Zweifamilienhäuser (idR 4-50kW) gibt es den Heiz-Check https://verbraucherzentrale-energieberatung.de/beratung/bei-ihnen/heiz-check/ (</t>
    </r>
    <r>
      <rPr>
        <b/>
        <sz val="10"/>
        <color theme="1"/>
        <rFont val="Arial"/>
        <family val="2"/>
      </rPr>
      <t>durch Messung, Überprüfung der Einstellungen und die Effizienz Ihres Heizsystems</t>
    </r>
    <r>
      <rPr>
        <sz val="10"/>
        <color theme="1"/>
        <rFont val="Arial"/>
        <family val="2"/>
      </rPr>
      <t>) oder sie wissen noch nicht was für ein Heizungssystem das bestehende ablösen kann. Dann hilft der Eignungs-Check Heizung (</t>
    </r>
    <r>
      <rPr>
        <b/>
        <sz val="10"/>
        <color theme="1"/>
        <rFont val="Arial"/>
        <family val="2"/>
      </rPr>
      <t>Welche Heizung passt zum Haus und zum Nutzer</t>
    </r>
    <r>
      <rPr>
        <sz val="10"/>
        <color theme="1"/>
        <rFont val="Arial"/>
        <family val="2"/>
      </rPr>
      <t>) https://verbraucherzentrale-energieberatung.de/beratung/bei-ihnen/eignungs-check-heizung/</t>
    </r>
  </si>
  <si>
    <r>
      <t xml:space="preserve">Photovoltaik (kurz PV) 
</t>
    </r>
    <r>
      <rPr>
        <sz val="9"/>
        <color theme="1"/>
        <rFont val="Arial"/>
        <family val="2"/>
      </rPr>
      <t>zB. 9,66kWp (&lt;48qm; 28 Module mit 345 Watt, Wirkungsgrad (STC): 19,9%, Länge x Breite x Höhe: 1622 x 1068 x 35 mm = 1,73qm pro Modul)</t>
    </r>
  </si>
  <si>
    <r>
      <t>Durchschnittliche Heizkosten 2019 –</t>
    </r>
    <r>
      <rPr>
        <sz val="8"/>
        <color theme="1"/>
        <rFont val="Arial"/>
        <family val="2"/>
      </rPr>
      <t xml:space="preserve"> für ein Einfamilienhaus https://www.heizspiegel.de/heizkosten-pruefen/heizkosten-pro-m2-vergleich/</t>
    </r>
  </si>
  <si>
    <t>Stand 21.05.2021</t>
  </si>
  <si>
    <t>Flüssiggas kg</t>
  </si>
  <si>
    <t>1L = 10 kWh</t>
  </si>
  <si>
    <t>1kg = 14 kWh</t>
  </si>
  <si>
    <t>1.)</t>
  </si>
  <si>
    <t>2.)</t>
  </si>
  <si>
    <t>aktuell keine CO2 Abgabe auf Strom</t>
  </si>
  <si>
    <t>1 m³ = 10kWh</t>
  </si>
  <si>
    <r>
      <t xml:space="preserve">Ersatzmaßnahme
</t>
    </r>
    <r>
      <rPr>
        <sz val="6"/>
        <color theme="1"/>
        <rFont val="Arial"/>
        <family val="2"/>
      </rPr>
      <t>(BIOMETHAN/BIOÖL )
ca 20-30% teurer!)</t>
    </r>
  </si>
  <si>
    <r>
      <t xml:space="preserve">Verbrauch
</t>
    </r>
    <r>
      <rPr>
        <sz val="8"/>
        <color theme="1"/>
        <rFont val="Arial"/>
        <family val="2"/>
      </rPr>
      <t>in Litern im Jahr</t>
    </r>
  </si>
  <si>
    <t>sind ca. (kWh)
1L = 10kWh</t>
  </si>
  <si>
    <t>Luft-Wärmepumpe (kurz WP) mit externen  Trinkwasserspeicher 220 Liter 
PV 6kWp (48m²) Speicher 1kW (PV Anlagen / Module wird nicht gefördert!)</t>
  </si>
  <si>
    <t>Alle Angaben bezehen sich nur auf die CO²Abgabe!</t>
  </si>
  <si>
    <t>Die CO² Faktoren sind aus dem IHK online Tool (www.ihk.de/themen/umwelt-und-energie/co2-preisrechner) abgeleitet… bis heute ist das Gesetz zur CO² Abgabe für mich nicht auffindbar/ zugänglich!</t>
  </si>
  <si>
    <t>Heizöl L / Diesel</t>
  </si>
  <si>
    <t>Für die Planungsphase: 
-Betrieb der WP (monovalent oder bivalent) oder hybrieb klären/fixieren;
-Soll eine Kühlung realisiert werden? (oft nicht Gegenstand der Betrachtung)
-Soll eine PV Anlage den WP Strom bereitstellen?
-Investitionsrahmen für die Gesamtmaßnahme;
-Schallschutz ist zu beachten;
-Erwartungshaltung über Wirtschaftlichkeit der Sanierungsmaßnahme
-Beachtung der ggf. denkmalrechtlichen Randbedingungen;
-Auswahl des Wärmeerzeugers für Gesamtlast oder für Grundlast und Spitzenlast
-Festlegung des idealen Leistungs- und Deckungsanteils an dem Heizbedarf unter Berücksichtigung der Nutzer
-Anforderungen an das Projekt, z.B. der Wirtschaftlichkeit, Zeit, Qualität, Positiv &amp; negativ Liste zB. Dinge die nicht gewollt oder zulässig sind.
-Planung der Betriebsweise und Festlegung des Auslegungspunktes für jeden Erzeuger
-Wahl einer geeigneten Anlagenhydraulik
-Definition eines geeigneten regelungstechnischen Konzeptes
-Herstellervorgaben beachten.</t>
  </si>
  <si>
    <r>
      <t xml:space="preserve">Gas Brennwert mit Solarspeicher 360|350 L, 9|7m² Solaranlage zur Warmwasserbereitung 
(Heizungsunterstützung ca0,5- 1m² pro 10m² Wohnfläche + 1000l Speicher)
</t>
    </r>
    <r>
      <rPr>
        <sz val="8"/>
        <color theme="1"/>
        <rFont val="Arial"/>
        <family val="2"/>
      </rPr>
      <t>Für ein Bauchgefühl www.energieschweiz.ch/tools/solarrechner/ Beispiel: plz 8200 Schaffhausen (SH).Ist zwar nicht Hamburg aber die Schweiz ist dichter am Äquator.</t>
    </r>
  </si>
  <si>
    <t>HmbKliSchG §3 (11) Wärmeenergiebedarf ermitteln</t>
  </si>
  <si>
    <t>Wie soll der Energiebedarf ermittelt werden?</t>
  </si>
  <si>
    <t>(c)  Endenergieverbrauch Multiplikation mit Referenznutzungsgrad 0,85 bei Öl und 0,9 bei Gaskesseln, sofern die Anlage den gesamten Wärmeenergiebedarf deckt (Wärme &amp; Warmwasser)</t>
  </si>
  <si>
    <t>Ist der Wärmeenergiebedarf gleich zu setzen mit dem Jahres-Heizwärmebedarf nach ENEV/GEG?</t>
  </si>
  <si>
    <t>(a) Berechnung nach ENEV /GEG (Verbrauch oder Bedarf)</t>
  </si>
  <si>
    <t xml:space="preserve">m² </t>
  </si>
  <si>
    <t>Endenergiebedarf nach Energieausweis</t>
  </si>
  <si>
    <t>kWh/ (m² a)</t>
  </si>
  <si>
    <t>.</t>
  </si>
  <si>
    <t>ÖL</t>
  </si>
  <si>
    <t>JA</t>
  </si>
  <si>
    <t xml:space="preserve">(b) Messung abgegebene Wärmemenge direkt an der Wärmeerzeugungsanlage </t>
  </si>
  <si>
    <t>NEIN</t>
  </si>
  <si>
    <t xml:space="preserve">(c) Verbrauch </t>
  </si>
  <si>
    <t xml:space="preserve">(a) Jahres-Heizwärmebedarf </t>
  </si>
  <si>
    <t>Nur wenn Wärme &amp; Warmwasser zusammen bereitet werden!</t>
  </si>
  <si>
    <t>Endenergiebedarf</t>
  </si>
  <si>
    <r>
      <t>HmbKliSchG §3 (12)  Nutzflächen, Gebäudenutzflächen nach § 2 Nummer 14 EnEV A</t>
    </r>
    <r>
      <rPr>
        <sz val="8"/>
        <color theme="1"/>
        <rFont val="Calibri"/>
        <family val="2"/>
        <scheme val="minor"/>
      </rPr>
      <t>N</t>
    </r>
  </si>
  <si>
    <t>nach ENEV § 19 (2) entweder nach Wohnfläche oder nach Volumen</t>
  </si>
  <si>
    <t>Volumen nach GEG/ ENEV</t>
  </si>
  <si>
    <t>m³</t>
  </si>
  <si>
    <t>mittlere Geschosshöhe</t>
  </si>
  <si>
    <t>m</t>
  </si>
  <si>
    <t xml:space="preserve">Wohnfläche nach Wohnflächenverordnung </t>
  </si>
  <si>
    <t>m²</t>
  </si>
  <si>
    <t>https://enev-online.com/enev_2014_praxisdialog/140811_19.04_dibt_ermittlung_gebaeudenutzflaeche_an.pdf</t>
  </si>
  <si>
    <t>ein bis zwei Wohneinheiten mit beheizten Keller Nutzflächen AN</t>
  </si>
  <si>
    <t>Volumen</t>
  </si>
  <si>
    <t>Nebenrechnung</t>
  </si>
  <si>
    <t>Wohneinheiten ohne beheizten Keller Nutzflächen AN</t>
  </si>
  <si>
    <t xml:space="preserve">Geschosshöhen &lt; 3m oder &gt; 2,5m“ </t>
  </si>
  <si>
    <t>m² Nutzflächen AN</t>
  </si>
  <si>
    <t>Wohnfläche</t>
  </si>
  <si>
    <t xml:space="preserve">Geschosshöhen &gt; 3m oder &lt; 2,5m“ </t>
  </si>
  <si>
    <t>3.)</t>
  </si>
  <si>
    <t xml:space="preserve">Wohngebäuden mit höchstens zwei Wohnungen </t>
  </si>
  <si>
    <t>m² Aperturfläche</t>
  </si>
  <si>
    <t>Wohngebäuden mit mehr als zwei Wohnungen</t>
  </si>
  <si>
    <t>Nutzfläche wird nnormalerweise nach Nutzungsarten definiert: Wohnen und Aufenthalt, Büroarbeit, Produktion, Lagern und Verkaufen. 
Heizungsräume, Lüftungsanlagen, Stromversorgung und andere Betriebsräume werden als Technische Funktionsflächen (TF) gewertet. Als Verkehrsflächen (VF) zählen Eingänge, Treppenhäuser, Fahrzeugverkehrsflächen oder Flure, aber hier ilt die ENEV/ das GEG und alles ist anders</t>
  </si>
  <si>
    <t>https://www.energie-experten.org/heizung/solarthermie/solarkollektoren/aperturflaeche</t>
  </si>
  <si>
    <t>4.)</t>
  </si>
  <si>
    <t>https://www.energieschweiz.ch/tools/solarrechner/</t>
  </si>
  <si>
    <t>Hinweis: Hybrid Anlagen (zB. Brennwert und WP) müssen Berechnet werden!</t>
  </si>
  <si>
    <t>DV §8 (1) vorlegen eines Sanierungsfahrplans</t>
  </si>
  <si>
    <t>Jahresarbeitszahl (JAZ)</t>
  </si>
  <si>
    <t>Hinweis: Jahresarbeitszahl (JAZ) muss mindestens 3,00 sein!</t>
  </si>
  <si>
    <t>wenn der Hamburger Energiepass oder der Sanierungsfahrplan nicht alter als 5 Jahre zum  Heizungstausch ist.</t>
  </si>
  <si>
    <t xml:space="preserve">Wärmeerzeugung der Wärmepumpe </t>
  </si>
  <si>
    <t>DV §7 (2) Wärmeenergiebedarfe zur Deckung der Wärmebedarfe für Raumwärme und Trinkwarmwasser</t>
  </si>
  <si>
    <t>Erzeuger-Jahresarbeitszahl (EJAZ) oder System-Jahresarbeits-zahl (SJAZ)</t>
  </si>
  <si>
    <t xml:space="preserve">Wärmeerzeugung der gesamtes Heizungssystem </t>
  </si>
  <si>
    <t>DV § 10 (3) Wärmepumpe</t>
  </si>
  <si>
    <t>DV §6 (3) elektrisch angetriebenen Wärmepumpen</t>
  </si>
  <si>
    <t>EE-Anteil</t>
  </si>
  <si>
    <t xml:space="preserve">DV § 10 (2) Wärmeenergiebedarf </t>
  </si>
  <si>
    <t>DV §6 (3) Einsichtnahmestelle der VDI-Richtlinie 4650!!! &amp;  DIN EN 14785, DIN EN 15250, DIN EN 13240</t>
  </si>
  <si>
    <t>Verbrauch oder Erzeugung? Wie und Wo wird die erzeugte Energie dokumentiert?</t>
  </si>
  <si>
    <t>5.)</t>
  </si>
  <si>
    <t>Hinweis: Brennstoffen betriebenen Wärmepumpen müssen mindestens eine Jahresheizzahl (JHZ) von mindestens 1,20 erreichen!</t>
  </si>
  <si>
    <t>Brennstoff:</t>
  </si>
  <si>
    <t xml:space="preserve">Erdgas (L, H) </t>
  </si>
  <si>
    <t xml:space="preserve">Heizöl </t>
  </si>
  <si>
    <t xml:space="preserve">Holz </t>
  </si>
  <si>
    <t>feste Brennstoffe</t>
  </si>
  <si>
    <t>Stückholz (rm)</t>
  </si>
  <si>
    <t>Steinkohle (kg)</t>
  </si>
  <si>
    <t>kg</t>
  </si>
  <si>
    <t>elektrisch angetriebenen Wärmepumpen eine Jahresarbeitszahl (JAZ) von mindestens 3,00</t>
  </si>
  <si>
    <t>kWh (Brennwert) idR. In der Rechnung angegeben</t>
  </si>
  <si>
    <t>Holzhackschnitzel (Scbm)</t>
  </si>
  <si>
    <t>Koks (kg)</t>
  </si>
  <si>
    <t xml:space="preserve">Brennstoffen betriebenen Wärmepumpen eine Jahresheizzahl (JHZ) von mindestens 1,20 </t>
  </si>
  <si>
    <t>kWh (Heizwert)</t>
  </si>
  <si>
    <t>Holzpellets (kg)</t>
  </si>
  <si>
    <t>Braunkohle (kg)</t>
  </si>
  <si>
    <t>6.)</t>
  </si>
  <si>
    <t>https://www.thermondo.de/info/rat/heizen/sparpotenzial-warmwasserverbrauch/</t>
  </si>
  <si>
    <t>Anzahl an Personen</t>
  </si>
  <si>
    <t>Energiebedarf am Tag</t>
  </si>
  <si>
    <t xml:space="preserve">  kWh pro Tag pro Person</t>
  </si>
  <si>
    <t xml:space="preserve">Energieverbrauch </t>
  </si>
  <si>
    <t>Energiebedarf am Jahr</t>
  </si>
  <si>
    <t xml:space="preserve">  kWh im Jahr</t>
  </si>
  <si>
    <t>Raumheizung und Trinkwassererwärmung</t>
  </si>
  <si>
    <t xml:space="preserve">Abrechnungsperiode </t>
  </si>
  <si>
    <t xml:space="preserve">Verbrauch </t>
  </si>
  <si>
    <t>Anteil Warmwasser</t>
  </si>
  <si>
    <t xml:space="preserve">Nach GEG </t>
  </si>
  <si>
    <t>kWh je m² Nutzfläche</t>
  </si>
  <si>
    <t xml:space="preserve">Nr. </t>
  </si>
  <si>
    <t xml:space="preserve">von </t>
  </si>
  <si>
    <t xml:space="preserve">bis </t>
  </si>
  <si>
    <t xml:space="preserve">m³ / Liter / kWh / rm / Scbm / kg </t>
  </si>
  <si>
    <t xml:space="preserve">nicht enthalten </t>
  </si>
  <si>
    <t xml:space="preserve">Messwert </t>
  </si>
  <si>
    <t>Pauschal (%)</t>
  </si>
  <si>
    <t>nach HeizkostenVo</t>
  </si>
  <si>
    <t>kWh je m² Wohnfläche</t>
  </si>
  <si>
    <t>https://www.gesetze-im-internet.de/heizkostenv/__9.html</t>
  </si>
  <si>
    <t>https://www.stiebel-eltron.de/de/home/produkte-loesungen/warmwasser/warmwasser-waermepumpen/kompaktbaureihe_wwk220300electronicsolumluftbetrieb/wwk_300_electronic/technische-daten.product.pdf</t>
  </si>
  <si>
    <t>https://www.sonnenenergie.de/sonnenenergie-redaktion/SE-2009-05/Layout-fertig/PDF/Einzelartikel/SE-2009-05-s068-Waermepumpe-Leistungsfaehigkeit_Elektrowaermepumpen_Teil_2.pdf</t>
  </si>
  <si>
    <t>EE-Anteil bei WP Strom</t>
  </si>
  <si>
    <t>Aufstellung einer Warmwasser-Waermepumpe: 
-Keller 1,5 System-Jahresarbeitszahl SJAZ im Mittel 
-Wohnräumen 2,5 
-SJAZ 3,0 möglich wenn mehr  als  40  l/(Tag  und  Person)  (Praxiswerte  nur  zwischen  10 und 30 l/(Tag und Person) mit einem Mittel von 25 l/(Tag und Person))</t>
  </si>
  <si>
    <t>7.)</t>
  </si>
  <si>
    <t>Ein Hamburger Energiepass oder der Sanierungsfahrplan (nicht alter als 5 Jahre zum Heizungstausch) liegt vor.</t>
  </si>
  <si>
    <t>Es liegt kein Hamburger Energiepass oder der Sanierungsfahrplan vor.</t>
  </si>
  <si>
    <t xml:space="preserve">Das entspricht </t>
  </si>
  <si>
    <t>Warmwasserwärmebedarf mit WP Strom</t>
  </si>
  <si>
    <t>HmbKliSchG EE Check</t>
  </si>
  <si>
    <t>6.a)</t>
  </si>
  <si>
    <t>6.b)</t>
  </si>
  <si>
    <t>6.c)</t>
  </si>
  <si>
    <t>6.1)</t>
  </si>
  <si>
    <t>Hinweis: mindestens 15% (12,5%) müssen erreicht werden!</t>
  </si>
  <si>
    <r>
      <t>Effektive Kosten</t>
    </r>
    <r>
      <rPr>
        <sz val="6"/>
        <color theme="1"/>
        <rFont val="Arial"/>
        <family val="2"/>
      </rPr>
      <t xml:space="preserve"> (Förderungen Abgezogen)</t>
    </r>
  </si>
  <si>
    <r>
      <t xml:space="preserve">Verbrauch [kWh]
</t>
    </r>
    <r>
      <rPr>
        <sz val="7"/>
        <color theme="1"/>
        <rFont val="Arial"/>
        <family val="2"/>
      </rPr>
      <t>(laut Rechnung oder Berechnung)</t>
    </r>
  </si>
  <si>
    <r>
      <t xml:space="preserve">Energiekosten [€]
</t>
    </r>
    <r>
      <rPr>
        <sz val="8"/>
        <color theme="1"/>
        <rFont val="Arial"/>
        <family val="2"/>
      </rPr>
      <t>(laut Rechnung oder Berechnung)</t>
    </r>
  </si>
  <si>
    <r>
      <t xml:space="preserve">Personen 
</t>
    </r>
    <r>
      <rPr>
        <sz val="8"/>
        <color theme="1"/>
        <rFont val="Arial"/>
        <family val="2"/>
      </rPr>
      <t>(übliche Belegung)</t>
    </r>
  </si>
  <si>
    <t>€ im Jahr mit de rneuen Heizung | zzgl. CO² Abgabe</t>
  </si>
  <si>
    <r>
      <t xml:space="preserve">Warmwasserwärmebedarf (Q) ggf. nicht bekannt / erfasst, dann kann folgend (6.a bis 6.c) </t>
    </r>
    <r>
      <rPr>
        <b/>
        <sz val="12"/>
        <color theme="1"/>
        <rFont val="Calibri"/>
        <family val="2"/>
        <scheme val="minor"/>
      </rPr>
      <t>eine</t>
    </r>
    <r>
      <rPr>
        <b/>
        <sz val="11"/>
        <color theme="1"/>
        <rFont val="Calibri"/>
        <family val="2"/>
        <scheme val="minor"/>
      </rPr>
      <t xml:space="preserve"> berechnung genutzt werden.</t>
    </r>
  </si>
  <si>
    <r>
      <t xml:space="preserve">DV § 10 (4) Kombinationslösungen und Berechnungsverfahren bei </t>
    </r>
    <r>
      <rPr>
        <b/>
        <sz val="11"/>
        <color rgb="FF000000"/>
        <rFont val="Arial"/>
        <family val="2"/>
      </rPr>
      <t>Wärmepumpe Gas</t>
    </r>
  </si>
  <si>
    <r>
      <t xml:space="preserve">DV § 6 (3) Kombinationslösungen und Berechnungsverfahren </t>
    </r>
    <r>
      <rPr>
        <b/>
        <sz val="11"/>
        <color rgb="FF000000"/>
        <rFont val="Arial"/>
        <family val="2"/>
      </rPr>
      <t>Wärmepumpe Strom</t>
    </r>
  </si>
  <si>
    <r>
      <t xml:space="preserve">HmbKliSchG §17 (2) Solar- Aperturfläche
</t>
    </r>
    <r>
      <rPr>
        <sz val="8"/>
        <color theme="1"/>
        <rFont val="Arial"/>
        <family val="2"/>
      </rPr>
      <t>Aperturfläche von 0,04 m</t>
    </r>
    <r>
      <rPr>
        <sz val="8"/>
        <color theme="1"/>
        <rFont val="Calibri"/>
        <family val="2"/>
        <scheme val="minor"/>
      </rPr>
      <t>2</t>
    </r>
    <r>
      <rPr>
        <sz val="8"/>
        <color theme="1"/>
        <rFont val="Arial"/>
        <family val="2"/>
      </rPr>
      <t xml:space="preserve"> je m</t>
    </r>
    <r>
      <rPr>
        <sz val="8"/>
        <color theme="1"/>
        <rFont val="Calibri"/>
        <family val="2"/>
        <scheme val="minor"/>
      </rPr>
      <t>2</t>
    </r>
    <r>
      <rPr>
        <sz val="8"/>
        <color theme="1"/>
        <rFont val="Arial"/>
        <family val="2"/>
      </rPr>
      <t xml:space="preserve"> Nutzfläche bei Wohngebäuden mit höchstens zwei Wohnungen oder mit einer Aperturfläche von 0,03 m</t>
    </r>
    <r>
      <rPr>
        <sz val="8"/>
        <color theme="1"/>
        <rFont val="Calibri"/>
        <family val="2"/>
        <scheme val="minor"/>
      </rPr>
      <t>2</t>
    </r>
    <r>
      <rPr>
        <sz val="8"/>
        <color theme="1"/>
        <rFont val="Arial"/>
        <family val="2"/>
      </rPr>
      <t xml:space="preserve"> je m</t>
    </r>
    <r>
      <rPr>
        <sz val="8"/>
        <color theme="1"/>
        <rFont val="Calibri"/>
        <family val="2"/>
        <scheme val="minor"/>
      </rPr>
      <t>2</t>
    </r>
    <r>
      <rPr>
        <sz val="8"/>
        <color theme="1"/>
        <rFont val="Arial"/>
        <family val="2"/>
      </rPr>
      <t xml:space="preserve"> Nutzfläche bei Wohngebäuden mit mehr als zwei Wohnungen gilt als Erfüllung der Anforderungen nach Absatz 1.</t>
    </r>
  </si>
  <si>
    <t>Bei Trinkwarmwasser Wärmepumpe über Strom:</t>
  </si>
  <si>
    <t>bei Verbrauch Seite 3: Endenergiebedarf kWh / m² a</t>
  </si>
  <si>
    <t>bei Berechnung Seite 2: Endenergiebedarf kWh / m² a</t>
  </si>
  <si>
    <r>
      <t>Daten aus dem Energieausweis Seite 1: Gebäudenutzfläche A</t>
    </r>
    <r>
      <rPr>
        <sz val="6"/>
        <color theme="1"/>
        <rFont val="Arial"/>
        <family val="2"/>
      </rPr>
      <t>N</t>
    </r>
  </si>
  <si>
    <t>(a.1)  Gebäudenutzfläche AN nach Energieausweis</t>
  </si>
  <si>
    <t>Datengrundlage bei (a) Berechnung nach ENEV /GEG (Verbrauch oder Bedarf)</t>
  </si>
  <si>
    <t>kWh -&gt; Nur wenn Wärme &amp; Warmwasser zusammen (über ein Medium) bereitet werden! Sonst nach Energieazsweis!!!</t>
  </si>
  <si>
    <t>https://ihreimmobilienverwaltung.de/downloads/Heizkostenverordnung.pdf</t>
  </si>
  <si>
    <t>Kosten € 
(zB. EFH)</t>
  </si>
  <si>
    <t>Wohnfläche nach DIN 277</t>
  </si>
  <si>
    <t>Realistisch sind 1,65 bis 2,2 kWh pro Tag pro Person</t>
  </si>
  <si>
    <t>nur in Hamburg!!!</t>
  </si>
  <si>
    <t>Erst ab 20m² Bruttokollektorfläche, 60 €/m²  ;Solarertrags-Monitoring ist verpflichtend!</t>
  </si>
  <si>
    <t>Maßnahmenkombination / Übersicht</t>
  </si>
  <si>
    <t>Was kosten die Maßnahmen?</t>
  </si>
  <si>
    <t>DV §8 (1) Sanierungsfahrplan vorgesehen / vorhanden?</t>
  </si>
  <si>
    <t>ca m² neue Fenster</t>
  </si>
  <si>
    <t>ca m² neue Fassade</t>
  </si>
  <si>
    <t>ca m²neues  
Dach</t>
  </si>
  <si>
    <t>ca m² 
Kellerdeckendämmung</t>
  </si>
  <si>
    <t>ca m² 
Kerndämmung</t>
  </si>
  <si>
    <t>Statistische Fächen bei Ihrer Immobilie [m²]</t>
  </si>
  <si>
    <t>auf BIOMETHAN/BIOÖL bezogen</t>
  </si>
  <si>
    <t>Wie Alt sind sie?*</t>
  </si>
  <si>
    <t xml:space="preserve">                  *alternativ können Sie folgend auch die Lebenserwartung der Heizung / der Immobile nutzen… ---&gt;</t>
  </si>
  <si>
    <t>WLG 
WLS</t>
  </si>
  <si>
    <t>Material;  
Befestigung; 
Verarbeitung</t>
  </si>
  <si>
    <t>Zuschläge</t>
  </si>
  <si>
    <t>W/(m²·K)</t>
  </si>
  <si>
    <t>Dicke [cm] 
Dämmung</t>
  </si>
  <si>
    <t>8.)</t>
  </si>
  <si>
    <t>Einsparung durch Dämmung</t>
  </si>
  <si>
    <t>Einsparung durch Dämmung (Nachweis vom/über Sachverständigen!)</t>
  </si>
  <si>
    <r>
      <rPr>
        <b/>
        <u/>
        <sz val="12"/>
        <rFont val="Arial"/>
        <family val="2"/>
      </rPr>
      <t>Vereinfachte</t>
    </r>
    <r>
      <rPr>
        <b/>
        <sz val="11"/>
        <color theme="1"/>
        <rFont val="Arial"/>
        <family val="2"/>
      </rPr>
      <t xml:space="preserve"> U-Wert ermittlung</t>
    </r>
  </si>
  <si>
    <t xml:space="preserve">ca. mittlerer U-Wert reine Dämmung! </t>
  </si>
  <si>
    <t xml:space="preserve">Wärmeleitfähigkeit λ </t>
  </si>
  <si>
    <t>WLG/ WLS</t>
  </si>
  <si>
    <t>CO2 Faktoren nach GEG oder so?</t>
  </si>
  <si>
    <t>Tipp: Erneuerbare Energie (Wärmepumpen, Holzheizungen, Solaranlagen …)</t>
  </si>
  <si>
    <t>Energieverbrauch</t>
  </si>
  <si>
    <r>
      <t>15 W/m</t>
    </r>
    <r>
      <rPr>
        <vertAlign val="superscript"/>
        <sz val="10"/>
        <color theme="1"/>
        <rFont val="Arial"/>
        <family val="2"/>
      </rPr>
      <t>2</t>
    </r>
  </si>
  <si>
    <t>KfW 55</t>
  </si>
  <si>
    <t>KfW 40</t>
  </si>
  <si>
    <r>
      <t>35 W/m</t>
    </r>
    <r>
      <rPr>
        <vertAlign val="superscript"/>
        <sz val="10"/>
        <color theme="1"/>
        <rFont val="Arial"/>
        <family val="2"/>
      </rPr>
      <t>2</t>
    </r>
  </si>
  <si>
    <t>Ersatzmaßnahme (einkauf von 15 % Biomethan/ 15 % Bioöl)</t>
  </si>
  <si>
    <t>Vereinfachte Ergebnisse!!!</t>
  </si>
  <si>
    <t>:-)</t>
  </si>
  <si>
    <t xml:space="preserve">Vollbenutzungsstunden (h/a) </t>
  </si>
  <si>
    <t xml:space="preserve">Kosten </t>
  </si>
  <si>
    <t>0,06 € je kWh</t>
  </si>
  <si>
    <t>Wachsmasse: m = 15g</t>
  </si>
  <si>
    <t>Brenndauer: t = 4,5h</t>
  </si>
  <si>
    <t>Hinweis: Dies sind Werte eines typischen Teelichts aus dem Supermarkt.</t>
  </si>
  <si>
    <t>Ein Teelicht wurde früher vor allem benutzt um Tee warmzuhalten. Das Teelicht ist eine kleine Kerze in einem Behälter. Heute erfüllt dieses weitere Funktionen, beispielsweise als Raumbeleuchtung. Um die Heizleistung zu messen, gibt es mehrere Optionen. Eine Möglichkeit wäre einen Topf Wasser mit dem Teelicht zu erwärmen und über die Wassermenge und Temperaturerhöhung innerhalb einer Zeitspanne die Heizleistung zu berechnen. So ein Messaufbau wäre fehleranfällig und praktisch nicht in der Lage die Heizleistung des Teelichts oder eine Kerze vernünftig zu bestimmen. Beispielsweise wird nicht die gesamte Heizleistung in das Wasser gebracht. Dieser Messaufbau wird aufgrund weiterer Nachteile nicht weiter verfolgt.</t>
  </si>
  <si>
    <t>Da die Materialdaten von Wachs gut bekannt sind, bietet es sich vielmehr an über den Gewichtsverlust des Wachses die Heizleistung zu berechnen. Diese Methode ist genau, schnell und leicht umzusetzen. Schon einfache Überlegungen können bei so einer Fragestellung viel Zeit sparen.</t>
  </si>
  <si>
    <t xml:space="preserve">Heizwert von Paraffin: Bild </t>
  </si>
  <si>
    <t>Lösung</t>
  </si>
  <si>
    <t>Das Teelicht hat eine Heizleistung von ca. 42 Watt.</t>
  </si>
  <si>
    <t>https://www.technik-consulting.eu/Wissenschaft/Teelicht.html</t>
  </si>
  <si>
    <t>1 qm Wohnfläche braucht im Neubau 15W/m² * 2.000 Volllaststunden = 30.000W / 1000 = 30kWh</t>
  </si>
  <si>
    <t>1 Teelicht brennt 60Minuten = 42Wh | 100 Teelichter = 4.200 Watt bei 4,5h Brenndauer 18.900 Watt /1.000 = 18,9kWh</t>
  </si>
  <si>
    <t>Also werden 3l ÖL im Jahr oder 1,6 Packungen Teelichter im Jahr gebraucht!</t>
  </si>
  <si>
    <t xml:space="preserve">1 Teelicht brennt 42W * 2000h Volllaststunden = 84.000Wh / 1000 = 84kWh (2000h / 4,5h= 444 Teelichter für 2000h) </t>
  </si>
  <si>
    <t xml:space="preserve">Die erforderliche Heizenergie im Jahr sind 4000kWh /84kWh = 47,6 * 444  =21.142 Teelichter </t>
  </si>
  <si>
    <t>Stück</t>
  </si>
  <si>
    <t>Teelicht (100 Stück mit 4,5h Brenndauer)
Bitte die Luftqualität / Belüftung beachten!</t>
  </si>
  <si>
    <t>https://www.iwu.de/publikationen/fachinformationen/energiebilanzen/#c205</t>
  </si>
  <si>
    <t>Einfamilien-haus, freistehend</t>
  </si>
  <si>
    <t>Reihenend-haus</t>
  </si>
  <si>
    <t>Reihenmittel-haus</t>
  </si>
  <si>
    <t>Mehrfamilien-haus &lt; 8 WE</t>
  </si>
  <si>
    <t>Anzahl</t>
  </si>
  <si>
    <t>h</t>
  </si>
  <si>
    <t>kW/m</t>
  </si>
  <si>
    <t>W/m</t>
  </si>
  <si>
    <t>spezifische Entzugsleistung des Untergrundes qE</t>
  </si>
  <si>
    <t xml:space="preserve">Heizleistung des Wärmeerzeugers </t>
  </si>
  <si>
    <t>Eisspeicher</t>
  </si>
  <si>
    <t>Druchmesser</t>
  </si>
  <si>
    <t>Höhe</t>
  </si>
  <si>
    <t>Abstand</t>
  </si>
  <si>
    <t>(zwei Speicher)</t>
  </si>
  <si>
    <t>Photovoltaik 9kW Speicher (inkl. Notstromfunktion, Belüftung, Energiemanager...)</t>
  </si>
  <si>
    <t>Summe Maximale Sperrzeit bei Wärmepumpen-strom</t>
  </si>
  <si>
    <t>Verlegeabstand S (Kollektorrohrabstand) WP Erd</t>
  </si>
  <si>
    <t>Jahresarbeitszahl | 
Wirkungsgrad 
1=100% keine Verbesserung; 
1,1 =110% zB. Brennwert 
1,15 =115% zB. Brennwert mit hydr Abgl.
1,3 =135% zB. Brennwert mit hydr Abgl.und Solar
3 bis 5= Jahresarbeitszahl/Systemarbeitszahl</t>
  </si>
  <si>
    <t>Eine Planung ist empfohlen, um einen langen und wirtschaftlichen betrieb sicher zu stellen. Die Herstellervorgaben aller Kompumenten beachten.</t>
  </si>
  <si>
    <t xml:space="preserve">Solaranlage zur Heizungsunterstützung 10m² mit 750-1000 L Pufferspeicher, ggf. Frischwassersystem </t>
  </si>
  <si>
    <t>nur ab &gt;20qm bei 
Biomasse 90€ je qm; 
Gas 60€je qm; Wärme-verteilnetz 120€ je qm</t>
  </si>
  <si>
    <t>AKTUELL KEINE CO2 ABGABE!</t>
  </si>
  <si>
    <t>Liter Tank</t>
  </si>
  <si>
    <t>km im Jahr</t>
  </si>
  <si>
    <t>https://www.viessmann.de/de/wohngebaeude/waermepumpe/eis-energiespeicher.html</t>
  </si>
  <si>
    <t>Den Brennwert laut Rechnung verwenden! Der Heizwert ist für die CO2 Abgabe maßgebend.</t>
  </si>
  <si>
    <r>
      <t xml:space="preserve">PV-plug 600Wp* (max idR. zwei Module inkl. zB. Schuko Stecker) 
</t>
    </r>
    <r>
      <rPr>
        <sz val="9"/>
        <color theme="1"/>
        <rFont val="Arial"/>
        <family val="2"/>
      </rPr>
      <t>Einstrahung für Hamburg ca. 900-1000 kWh im Jahr; 
Ertrag ca. 80- 110€ im Jahr (Lage Süd, 30-40°)
*Keine Planung erforderlich! MACHEN</t>
    </r>
  </si>
  <si>
    <r>
      <rPr>
        <b/>
        <sz val="14"/>
        <color theme="1"/>
        <rFont val="Arial"/>
        <family val="2"/>
      </rPr>
      <t>Übersicht</t>
    </r>
    <r>
      <rPr>
        <b/>
        <sz val="10"/>
        <color theme="1"/>
        <rFont val="Arial"/>
        <family val="2"/>
      </rPr>
      <t xml:space="preserve">
</t>
    </r>
    <r>
      <rPr>
        <b/>
        <sz val="6"/>
        <color theme="1"/>
        <rFont val="Arial"/>
        <family val="2"/>
      </rPr>
      <t>Alle Angaben sind ohne Gewähr und basieren ausschließlich auf Erfahrungswerten oder Schätzungen</t>
    </r>
  </si>
  <si>
    <t>Jahre</t>
  </si>
  <si>
    <t>Wärmepumpe elektrisch Außenluft Luft / Wasser 
(Neubau 3,3 / Bestand 2,9)</t>
  </si>
  <si>
    <t>Wärmepumpe elektrisch Erdreich Sole / Wasser 
(Neubau 4,0 / Bestand 3,5)</t>
  </si>
  <si>
    <t>Wärmepumpe elektrisch Grundwasser Wasser / Wasser 
(N 4,3 / B 3,6)</t>
  </si>
  <si>
    <t>Wärmepumpe Gas Außenluft Luft / Wasser  
(1,4)</t>
  </si>
  <si>
    <t>CO2-Emissionszertifikat 
(in 7 Jahren: Max 18€, Min 3€, Aktuell 8€)</t>
  </si>
  <si>
    <t>CO² Fakor 
[g CO² pro kWh]
(nach GEMIS Rohdaten)
Veröffentlichung 2020
Werte sind gerundet!</t>
  </si>
  <si>
    <t>CO² Fakor 
[g CO² pro kWh]
(nach zB. ENEV  &amp; GEG 
Veröffentlichung 2020)</t>
  </si>
  <si>
    <t>CO² Fakor 
(nach zB. CO2 Abgabe 
Veröffentlichung 2021)</t>
  </si>
  <si>
    <t>CO² Fakor 
(nach BAFA 
Veröffentlichung 2020)</t>
  </si>
  <si>
    <t>CO² Fakor 
[g CO² pro kWh]
(nach zB. GEMIS, BAFA, CO2 Abgabe…)</t>
  </si>
  <si>
    <t>Lebenserwartung</t>
  </si>
  <si>
    <t>Instandhaltungsrücklagen</t>
  </si>
  <si>
    <t>Heizlast nach Norm abschätzen</t>
  </si>
  <si>
    <t>Tabelle 38: Anhaltswerte für Wärmeerzeuger-Nutzungsgrade für Beheizung, heizwertbezogen</t>
  </si>
  <si>
    <t>Baualter des Wärmeerzeugers</t>
  </si>
  <si>
    <t xml:space="preserve">Nutzungsgrad , </t>
  </si>
  <si>
    <t>Brennwertkessel/ Fernwärme</t>
  </si>
  <si>
    <t>NT-Kessel</t>
  </si>
  <si>
    <t>Pelletkessel</t>
  </si>
  <si>
    <t>zwischen 1980 bis 1995</t>
  </si>
  <si>
    <t>vor 1980</t>
  </si>
  <si>
    <t>Schätzung des Energieaufwands für Trinkwassererwärmung</t>
  </si>
  <si>
    <t>Nutzenergie TWE nach Wohnfläche</t>
  </si>
  <si>
    <t>Endenergie Trinkwassererwärmung</t>
  </si>
  <si>
    <t>Nutzenergie TWE nach Volumenstrom</t>
  </si>
  <si>
    <t>Art der Trinkwassererwärmung</t>
  </si>
  <si>
    <t xml:space="preserve">Nutzungsgrad </t>
  </si>
  <si>
    <t>ohne Zirkulation</t>
  </si>
  <si>
    <t>mit Zirkulation</t>
  </si>
  <si>
    <t>gebäudezentral</t>
  </si>
  <si>
    <t>0,5…0,7</t>
  </si>
  <si>
    <t>EFH: 0,2…0,4 MFH: 0,3…0,6</t>
  </si>
  <si>
    <t>gruppenweise, wohnungszentral</t>
  </si>
  <si>
    <t>0,7…0,85</t>
  </si>
  <si>
    <t>die Personenanzahl.</t>
  </si>
  <si>
    <t>der personenspezifische Trinkwarmwasserbedarf, in l/dP;</t>
  </si>
  <si>
    <t>Für Wohngebäude kann von einem Trinkwarmwasserbedarf von 30 l/dP ausgegangen werden.</t>
  </si>
  <si>
    <t>die Wohnfläche nach Wohnflächenverordnung, in ;</t>
  </si>
  <si>
    <t xml:space="preserve">der Jahresnutzungsgrad der Trinkwassererwärmung; </t>
  </si>
  <si>
    <t>Nutzenergieverbrauch der Trinkwassererwärmung, in Wh;</t>
  </si>
  <si>
    <t>Auslegungsaußentemperatur, in °C (ϑe)</t>
  </si>
  <si>
    <t>Heizgrenztemperatur, in °C (ϑHG oder ϑed)</t>
  </si>
  <si>
    <t>Gradtagzahl im Zeitraum der Verbrauchsmessung, z. B. G_{{15/15}}, in Kd/a (G)</t>
  </si>
  <si>
    <t>Betriebszeit der Wärmeerzeugungsanlage, hier 8760, in h;</t>
  </si>
  <si>
    <t>mittlerer Belastungsgrad der Wärmeerzeugungsanlage für Beheizung im Betrachtungszeitraum (ßm,t)</t>
  </si>
  <si>
    <t>mittlere Außentemperatur während der Heizperiode, in °C (ϑm,HG oder ϑm,ed)</t>
  </si>
  <si>
    <t>Baualter des vorhandenen Wärmeerzeugers</t>
  </si>
  <si>
    <t>Technik / Art des vorhandenen Wärmeerzeugers</t>
  </si>
  <si>
    <t>Tabelle B.1 — Energieträgerabhängige Umrechnungsfaktoren</t>
  </si>
  <si>
    <r>
      <t xml:space="preserve">Verhältnis Brennwert/Heizwert </t>
    </r>
    <r>
      <rPr>
        <i/>
        <sz val="10"/>
        <color rgb="FF000000"/>
        <rFont val="TimesNewRoman"/>
      </rPr>
      <t xml:space="preserve">H
</t>
    </r>
    <r>
      <rPr>
        <sz val="10"/>
        <color rgb="FF000000"/>
        <rFont val="TimesNewRoman"/>
      </rPr>
      <t>s/</t>
    </r>
    <r>
      <rPr>
        <i/>
        <sz val="10"/>
        <color rgb="FF000000"/>
        <rFont val="TimesNewRoman"/>
      </rPr>
      <t>H</t>
    </r>
    <r>
      <rPr>
        <sz val="10"/>
        <color rgb="FF000000"/>
        <rFont val="TimesNewRoman"/>
      </rPr>
      <t xml:space="preserve">i
</t>
    </r>
    <r>
      <rPr>
        <b/>
        <sz val="10"/>
        <color rgb="FF000000"/>
        <rFont val="Arial"/>
        <family val="2"/>
      </rPr>
      <t xml:space="preserve">(Umrechnungsfaktor für die Endenergie)
</t>
    </r>
    <r>
      <rPr>
        <i/>
        <sz val="10"/>
        <color rgb="FF000000"/>
        <rFont val="TimesNewRoman"/>
      </rPr>
      <t>f</t>
    </r>
    <r>
      <rPr>
        <sz val="8"/>
        <color rgb="FF000000"/>
        <rFont val="Arial"/>
        <family val="2"/>
      </rPr>
      <t>HS/HI</t>
    </r>
  </si>
  <si>
    <t xml:space="preserve">Heizöl, Bioöl </t>
  </si>
  <si>
    <t>1,06</t>
  </si>
  <si>
    <t>Brennstoffe</t>
  </si>
  <si>
    <t xml:space="preserve">Erdgas, Biogas </t>
  </si>
  <si>
    <t>1,11</t>
  </si>
  <si>
    <t>1,09</t>
  </si>
  <si>
    <t xml:space="preserve">Steinkohle </t>
  </si>
  <si>
    <t>1,04</t>
  </si>
  <si>
    <t xml:space="preserve">Braunkohle </t>
  </si>
  <si>
    <t>1,07</t>
  </si>
  <si>
    <t>1,08</t>
  </si>
  <si>
    <t>1,00</t>
  </si>
  <si>
    <t>andere Energieträger</t>
  </si>
  <si>
    <t xml:space="preserve">Nah-/Fernwärme, Fernkälte </t>
  </si>
  <si>
    <t xml:space="preserve">Umweltenergie </t>
  </si>
  <si>
    <t xml:space="preserve">Abwärme </t>
  </si>
  <si>
    <t>Verbrauch laut Rechnung (in kWh &amp; Brennwert bezogen)</t>
  </si>
  <si>
    <t>Umrechnungsfaktor für die Endenergie fHS/HI</t>
  </si>
  <si>
    <t>Nutzungsgrad der Wärmeerzeugungsanlage (nh,gen,HS)</t>
  </si>
  <si>
    <t>Anhaltswerte für Wärmeerzeuger-Nutzungsgrade für Beheizung, heizwertbezogen (nh,gen,HI)</t>
  </si>
  <si>
    <t>Verbrauch in kWh &amp; Heizwert bezogen (Qh,outg,i)</t>
  </si>
  <si>
    <t>Personenanzahl</t>
  </si>
  <si>
    <t xml:space="preserve"> 0,2…0,4 </t>
  </si>
  <si>
    <t>EFH:</t>
  </si>
  <si>
    <t>0,3…0,6</t>
  </si>
  <si>
    <t xml:space="preserve">MFH: </t>
  </si>
  <si>
    <t>personenspezifische Trinkwarmwasserbedarf, in l/dP (Vp)</t>
  </si>
  <si>
    <t>Trinkwassererwärmung ist ohne Zirkulation oder mit Zirkulation</t>
  </si>
  <si>
    <t>Anhaltswerte für Wärmeerzeuger-Nutzungsgrade für Beheizung</t>
  </si>
  <si>
    <t>Trinkwassererwärmung ist "gruppenweise, wohnungszentral" oder "gebäudezentral"</t>
  </si>
  <si>
    <t>Vorschlagswert</t>
  </si>
  <si>
    <t>EFH mit Zirkulation</t>
  </si>
  <si>
    <t>MFH mit Zirkulation</t>
  </si>
  <si>
    <t>Vollbenutzungsstundenzahl der Wärmeerzeugungsanlage, in h (bVF) nach Belastungsgrad</t>
  </si>
  <si>
    <t>Vollbenutzungsstundenzahl der Wärmeerzeugungsanlage, in h (bVF) nach Grdtagszahlen</t>
  </si>
  <si>
    <t>Vorschlagswert Vollbenutzungsstundenzahl der Wärmeerzeugungsanlage, in h (bVF)</t>
  </si>
  <si>
    <t>Nutzenergie TWE nach Volumenstrom nach Wohnfläche kWh im Jahr  (Qw,b)</t>
  </si>
  <si>
    <t>Nutzenergie TWE nach Volumenstrom kWh im Jahr  (Qw,b)</t>
  </si>
  <si>
    <t>Vorschlagswert Nutzenergie TWE nkWh im Jahr  (Qw,b)</t>
  </si>
  <si>
    <t>min.</t>
  </si>
  <si>
    <t>max.</t>
  </si>
  <si>
    <t>Vorschlagswert Wärmeerzeuger-Nutzungsgrade zur Trinkwassererwärmung</t>
  </si>
  <si>
    <t>Vorschlagswert/ Genaue eingabe Wärmeerzeuger-Nutzungsgrad zur Trinkwassererwärmung</t>
  </si>
  <si>
    <t>Heizlast des Gebäudes, in kW (ΦHL,build)</t>
  </si>
  <si>
    <t>Heizlast des Gebäudes, in W je m² (ΦHL,build)</t>
  </si>
  <si>
    <t>Die Spreizung (zwischen min. &amp; max.) der Heizlast ist wegen des unklaren Trinkwasserbedarfs geschuldet!</t>
  </si>
  <si>
    <t>ohne Trinkwasser</t>
  </si>
  <si>
    <t xml:space="preserve">max. </t>
  </si>
  <si>
    <t>mit Trinkwasser</t>
  </si>
  <si>
    <t>Monat</t>
  </si>
  <si>
    <t>[d]</t>
  </si>
  <si>
    <t>[Kd]</t>
  </si>
  <si>
    <t>[°C]</t>
  </si>
  <si>
    <t>https://www.stiebel-eltron.de/toolbox/heizlast/</t>
  </si>
  <si>
    <t>Hinweis nach DIN 12831 30l/dP</t>
  </si>
  <si>
    <t>Daten unter https://www.iwu.de/publikationen/fachinformationen/energiebilanzen/#c205</t>
  </si>
  <si>
    <t>Daten nach DIN 12831 zu finden unter https://www.stiebel-eltron.de/toolbox/heizlast/</t>
  </si>
  <si>
    <t>A</t>
  </si>
  <si>
    <t>Fichte</t>
  </si>
  <si>
    <t xml:space="preserve">Eine 35 m hohe Fichte mit einem Alter von 100 Jahren hat einem Durchmesser von 
50 cm (gemessen in 1,3 m Höhe). Das Holzvolumen inklusive Äste aber ohne 
Wurzeln beträgt 3,4 m3. Die darin enthaltene gesamte Biomasse hat ein 
Trockengewicht von knapp 1,4 Tonnen; die Hälfte des Holzkörpers besteht aus 
Kohlenstoff, also 0,7 Tonnen. 
Das bedeutet: Eine 35 m hohe Fichte hat in 100 Jahren rund 0,7 Tonnen Kohlenstoff 
gespeichert. Dies entspricht einer CO2 Menge von 2,6 Tonnen 
CO2 (Umrechnungsfaktor 3,67). </t>
  </si>
  <si>
    <t>Folgende Informationen sind von https://www.wildes-bayern.de/wp-content/uploads/2021/04/cUniversitaet_Muenster_CO2-Bindung-Baeume.pdf</t>
  </si>
  <si>
    <t>Eine Buche mit dem selben Holzvolumen, also 3,4 m3, hat ein Trockengewicht von 
1,9 Tonnen. Auch hier besteht die Hälfte des Holzkörpers aus Kohlenstoff, also rund 
0,95 Tonnen Kohlenstoff. Dies multipliziert mit 3,67 ergibt 3,5 Tonnen CO2. Die 
Buche hat in ihrem Leben also 3,5 t CO2 gespeichert. Eine Buche mit dem gleichen 
Holzvolumen wie eine Fichte hat fast eine Tonne CO2 mehr gespeichert. Der Grund 
hierfür liegt in der höheren Holzdichte des Buchenholzes. Generell hat Laubholz, mit 
Ausnahme von Weichholz wie Pappel oder Weide, eine höhere Holzdichte als 
Nadelholz.</t>
  </si>
  <si>
    <t>Buche</t>
  </si>
  <si>
    <t>B</t>
  </si>
  <si>
    <t xml:space="preserve">Beispiel: 1 Festmeter (Kubikmeter) Rotbuche hat eine Darrdichte von 680 kg/m³. Der 
Kohlenstoffanteil (C) ist 50% =&gt; 680 : 2= 340 kg Kohlenstoff. 
Umrechnungsfaktor: 340 kg Kohlenstoff x 3,67 = 1248 kg CO2 ==&gt; 1 fm Buchenholz 
hat 1,248 Tonnen CO2 gespeichert. </t>
  </si>
  <si>
    <t>Rotbuche</t>
  </si>
  <si>
    <t>C</t>
  </si>
  <si>
    <t>Darrdichte (kg/m³)</t>
  </si>
  <si>
    <t>t CO2 (gebunden)</t>
  </si>
  <si>
    <t xml:space="preserve">Fm (m³) = Volumenformel eines Zylinders berechnet (V = d²/4 x pi x L) </t>
  </si>
  <si>
    <t>Douglasie</t>
  </si>
  <si>
    <t>Kiefer</t>
  </si>
  <si>
    <t>Lärche</t>
  </si>
  <si>
    <t>Eiche</t>
  </si>
  <si>
    <t>Pockholz</t>
  </si>
  <si>
    <t>Tanne</t>
  </si>
  <si>
    <t>Pappel</t>
  </si>
  <si>
    <t>Linde</t>
  </si>
  <si>
    <t>Weide</t>
  </si>
  <si>
    <t xml:space="preserve">Erle </t>
  </si>
  <si>
    <t xml:space="preserve">Dark Red Meranti </t>
  </si>
  <si>
    <t>Kirschbaum</t>
  </si>
  <si>
    <t xml:space="preserve">Ulme/ Rüster </t>
  </si>
  <si>
    <t>Ahorn (euro)</t>
  </si>
  <si>
    <t>Birke</t>
  </si>
  <si>
    <t>Birnbaum</t>
  </si>
  <si>
    <t>Esche</t>
  </si>
  <si>
    <t>Nussbaum</t>
  </si>
  <si>
    <t xml:space="preserve">Buche </t>
  </si>
  <si>
    <t>Teak</t>
  </si>
  <si>
    <t>Robinie</t>
  </si>
  <si>
    <t xml:space="preserve">Bongossi/ Azobe </t>
  </si>
  <si>
    <t>Ebenholz</t>
  </si>
  <si>
    <t>Je schwerer das Holz (die Biomasse), desto mehr CO2 wird gespeichert.     Fm (m³)</t>
  </si>
  <si>
    <t xml:space="preserve"> = </t>
  </si>
  <si>
    <t>Apfel</t>
  </si>
  <si>
    <t xml:space="preserve">Darrdichte [kg/ m³] </t>
  </si>
  <si>
    <t>https://www.rampa.com/service/wp-content/uploads/2018/02/Holzhaerten_DE.pdf</t>
  </si>
  <si>
    <t>Grafik von https://www.landwirtschaftskammer.de/duesse/znr/pdfs/2007/2007-01-25-weg-vom-oel-06.pdf</t>
  </si>
  <si>
    <t>Fm = Festmeter (m³) = ein Kubikmeter Holz ohne Zwischen-räume. Es wird zwischen Vorratsfestmeter (Vfm) und Erntefest-meter (Efm) unterschieden.</t>
  </si>
  <si>
    <t>Mittendurchmesser (in cm)</t>
  </si>
  <si>
    <t>Länge (m)</t>
  </si>
  <si>
    <t>Kegel</t>
  </si>
  <si>
    <t>D</t>
  </si>
  <si>
    <t>E</t>
  </si>
  <si>
    <t>L / kW im Jahr Kraftstoff</t>
  </si>
  <si>
    <r>
      <t xml:space="preserve">Mobilität*
</t>
    </r>
    <r>
      <rPr>
        <sz val="6"/>
        <color theme="1"/>
        <rFont val="Arial"/>
        <family val="2"/>
      </rPr>
      <t>*sehr vereinfachte betrachtung!</t>
    </r>
  </si>
  <si>
    <t>mal im Monat tanken</t>
  </si>
  <si>
    <t>F</t>
  </si>
  <si>
    <t xml:space="preserve">Wasserstoff als Brennstoffzelle </t>
  </si>
  <si>
    <t>https://www.erdgas.info/erdgas-mobil/alternative-kraftstoffe/vergleich-cng-und-lpg
https://www.fluessiggas1.de/autogas-arten-vorteile-und-kosten/</t>
  </si>
  <si>
    <t>https://h2.live/fahren/
https://www.dihk.de/resource/blob/24872/fd2c89df9484cf912199041a9587a3d6/dihk-faktenpapier-wasserstoff-data.pdf
https://www.gruene-fraktion-rlp.de/wp-content/uploads/2020/12/Gutachten-Wasserstoff-TSB-1120.pdf</t>
  </si>
  <si>
    <r>
      <t>Gas Wärmepumpe mit  ggf. Gas-Bre</t>
    </r>
    <r>
      <rPr>
        <sz val="10"/>
        <color theme="1"/>
        <rFont val="Arial"/>
        <family val="2"/>
      </rPr>
      <t>nnwertkessel mit externen TWWspeicher 130L</t>
    </r>
  </si>
  <si>
    <t xml:space="preserve">Abzügl. BAFA max. 50% </t>
  </si>
  <si>
    <t xml:space="preserve"> - </t>
  </si>
  <si>
    <r>
      <rPr>
        <b/>
        <sz val="10"/>
        <rFont val="Arial"/>
        <family val="2"/>
      </rPr>
      <t xml:space="preserve">Dämmung d [cm] </t>
    </r>
    <r>
      <rPr>
        <sz val="10"/>
        <rFont val="Arial"/>
        <family val="2"/>
      </rPr>
      <t xml:space="preserve">
     U-Wert [W/(m²K)]</t>
    </r>
  </si>
  <si>
    <r>
      <t>Nutzfläche A</t>
    </r>
    <r>
      <rPr>
        <b/>
        <sz val="8"/>
        <color rgb="FFFF0000"/>
        <rFont val="Calibri"/>
        <family val="2"/>
        <scheme val="minor"/>
      </rPr>
      <t>N</t>
    </r>
    <r>
      <rPr>
        <b/>
        <sz val="11"/>
        <color rgb="FFFF0000"/>
        <rFont val="Calibri"/>
        <family val="2"/>
        <scheme val="minor"/>
      </rPr>
      <t xml:space="preserve"> nach ENEV /GEG (Verbrauch/Bedarf)</t>
    </r>
  </si>
  <si>
    <t>CO² Fakor 
(nach ökobaudat 
Veröffentlichung 2022)</t>
  </si>
  <si>
    <t>Ziel 
Qualitätssiegel Nachhaltiges Gebäude
Treibhausgasemissionen im Gebäudelebenszyklus
(ROTE ENERGIE; Graue Energie ist für Bauteile)</t>
  </si>
  <si>
    <t>2,5</t>
  </si>
  <si>
    <t>2,6</t>
  </si>
  <si>
    <t>Luft/Wasser-Wärmepumpe mit externen  Trinkwasserspeicher 220 Liter 
Herstellervorgaben beachten (max. Vorlauftemperatur, Schallemission usw.) 
(JAZ 2,5-3,8)</t>
  </si>
  <si>
    <t>Grundwasser/Wasser-Wärmepumpe mit externen Trinkwasserspeicher 300 Liter (JAZ 3,3-4,7)</t>
  </si>
  <si>
    <r>
      <t xml:space="preserve">Stromdirktheizungen zB. Infrarotheizung 
</t>
    </r>
    <r>
      <rPr>
        <sz val="9"/>
        <color theme="1"/>
        <rFont val="Arial"/>
        <family val="2"/>
      </rPr>
      <t>Diese Art wird / ist in Hamburg für Bestand und Neubau verboten! Anlagen mit dieser Technik (auch Nachtspeicherheizungen) dürfen nicht mehr eingebaut werden!</t>
    </r>
    <r>
      <rPr>
        <sz val="10"/>
        <color theme="1"/>
        <rFont val="Arial"/>
        <family val="2"/>
      </rPr>
      <t xml:space="preserve"> 
Siehe § 11 des HmbKliSchG</t>
    </r>
  </si>
  <si>
    <r>
      <t xml:space="preserve">CO²  
</t>
    </r>
    <r>
      <rPr>
        <b/>
        <sz val="10"/>
        <color rgb="FFFF0000"/>
        <rFont val="Arial"/>
        <family val="2"/>
      </rPr>
      <t xml:space="preserve">(ROTE ENERGIE ist für direkten Energieverbrauch ; </t>
    </r>
    <r>
      <rPr>
        <b/>
        <sz val="10"/>
        <color theme="1"/>
        <rFont val="Arial"/>
        <family val="2"/>
      </rPr>
      <t xml:space="preserve">
</t>
    </r>
    <r>
      <rPr>
        <b/>
        <sz val="10"/>
        <color theme="2" tint="-0.499984740745262"/>
        <rFont val="Arial"/>
        <family val="2"/>
      </rPr>
      <t>Graue Energie ist für Bauteile, also Beton, TGA, Dämmung usw. &amp; wird über den gesamten Lebenszyklus betrachtet, es kann als „versteckte“ Energie betrachtet werden)</t>
    </r>
    <r>
      <rPr>
        <b/>
        <sz val="10"/>
        <color theme="1"/>
        <rFont val="Arial"/>
        <family val="2"/>
      </rPr>
      <t xml:space="preserve">
</t>
    </r>
  </si>
  <si>
    <t xml:space="preserve">Ziel Treibhausgasemissionen im Gebäudelebenszyklus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</si>
</sst>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6" formatCode="#,##0\ &quot;€&quot;;[Red]\-#,##0\ &quot;€&quot;"/>
    <numFmt numFmtId="44" formatCode="_-* #,##0.00\ &quot;€&quot;_-;\-* #,##0.00\ &quot;€&quot;_-;_-* &quot;-&quot;??\ &quot;€&quot;_-;_-@_-"/>
    <numFmt numFmtId="43" formatCode="_-* #,##0.00_-;\-* #,##0.00_-;_-* &quot;-&quot;??_-;_-@_-"/>
    <numFmt numFmtId="164" formatCode="_-* #,##0\ &quot;€&quot;_-;\-* #,##0\ &quot;€&quot;_-;_-* &quot;-&quot;??\ &quot;€&quot;_-;_-@_-"/>
    <numFmt numFmtId="165" formatCode="_-* #,##0_-;\-* #,##0_-;_-* &quot;-&quot;??_-;_-@_-"/>
    <numFmt numFmtId="166" formatCode="_-* #,##0\ [$€-407]_-;\-* #,##0\ [$€-407]_-;_-* &quot;-&quot;??\ [$€-407]_-;_-@_-"/>
    <numFmt numFmtId="167" formatCode="0\ &quot;m²&quot;"/>
    <numFmt numFmtId="168" formatCode="0.000"/>
    <numFmt numFmtId="169" formatCode="0&quot;kWh /a &quot;"/>
    <numFmt numFmtId="170" formatCode="0\ &quot; kW&quot;"/>
    <numFmt numFmtId="171" formatCode="0\ &quot; h&quot;"/>
    <numFmt numFmtId="172" formatCode="0&quot; kWh /a &quot;"/>
    <numFmt numFmtId="173" formatCode="0\ &quot; cm&quot;"/>
    <numFmt numFmtId="174" formatCode="0.00\ &quot; W/(m²·K)&quot;"/>
    <numFmt numFmtId="175" formatCode="0.000\ &quot; λ&quot;"/>
    <numFmt numFmtId="176" formatCode="0\ &quot; t CO2-eq&quot;"/>
    <numFmt numFmtId="177" formatCode="#,##0\ &quot;€&quot;"/>
    <numFmt numFmtId="178" formatCode="0.0"/>
    <numFmt numFmtId="179" formatCode="0.0\ &quot;JAZ&quot;"/>
    <numFmt numFmtId="180" formatCode="0.0\ &quot; kwh/kg&quot;"/>
    <numFmt numFmtId="181" formatCode="0.0000000"/>
    <numFmt numFmtId="182" formatCode="_-* #,##0.0_-;\-* #,##0.0_-;_-* &quot;-&quot;??_-;_-@_-"/>
    <numFmt numFmtId="183" formatCode="0\ &quot;W/m²&quot;"/>
    <numFmt numFmtId="184" formatCode="mmm\ yyyy"/>
    <numFmt numFmtId="185" formatCode="_-* #,##0.000_-;\-* #,##0.000_-;_-* &quot;-&quot;??_-;_-@_-"/>
    <numFmt numFmtId="186" formatCode="0.00\ &quot; t CO2-eq&quot;"/>
    <numFmt numFmtId="187" formatCode="#,##0.00\ &quot;€&quot;"/>
    <numFmt numFmtId="188" formatCode="0\ &quot; € je kg&quot;"/>
    <numFmt numFmtId="189" formatCode="0.00\ &quot; € je kWh&quot;"/>
    <numFmt numFmtId="190" formatCode="0.00\ &quot; € je Liter&quot;"/>
    <numFmt numFmtId="191" formatCode="_-* #,##0.0\ &quot;€&quot;_-;\-* #,##0.0\ &quot;€&quot;_-;_-* &quot;-&quot;??\ &quot;€&quot;_-;_-@_-"/>
    <numFmt numFmtId="192" formatCode="0\ &quot; kg CO2 Äqu./m² a &quot;"/>
    <numFmt numFmtId="193" formatCode="0.0\ &quot; t CO2 Äqu./m² a &quot;"/>
  </numFmts>
  <fonts count="83">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1"/>
      <color theme="1"/>
      <name val="Calibri"/>
      <family val="2"/>
      <scheme val="minor"/>
    </font>
    <font>
      <sz val="7"/>
      <color theme="1"/>
      <name val="Arial"/>
      <family val="2"/>
    </font>
    <font>
      <sz val="9"/>
      <color theme="1"/>
      <name val="Arial"/>
      <family val="2"/>
    </font>
    <font>
      <sz val="8"/>
      <color theme="1"/>
      <name val="Arial"/>
      <family val="2"/>
    </font>
    <font>
      <b/>
      <sz val="9"/>
      <color rgb="FFFF0000"/>
      <name val="Arial"/>
      <family val="2"/>
    </font>
    <font>
      <sz val="5"/>
      <color theme="1"/>
      <name val="Arial"/>
      <family val="2"/>
    </font>
    <font>
      <sz val="10"/>
      <name val="Arial"/>
      <family val="2"/>
    </font>
    <font>
      <u/>
      <sz val="10"/>
      <color indexed="12"/>
      <name val="Arial"/>
      <family val="2"/>
    </font>
    <font>
      <u/>
      <sz val="10"/>
      <color theme="10"/>
      <name val="Arial"/>
      <family val="2"/>
    </font>
    <font>
      <sz val="1"/>
      <color rgb="FFFF3300"/>
      <name val="Arial"/>
      <family val="2"/>
    </font>
    <font>
      <vertAlign val="superscript"/>
      <sz val="10"/>
      <color theme="1"/>
      <name val="Arial"/>
      <family val="2"/>
    </font>
    <font>
      <b/>
      <sz val="14"/>
      <color theme="1"/>
      <name val="Arial"/>
      <family val="2"/>
    </font>
    <font>
      <sz val="6"/>
      <color theme="1"/>
      <name val="Arial"/>
      <family val="2"/>
    </font>
    <font>
      <b/>
      <sz val="12"/>
      <color theme="1"/>
      <name val="Arial"/>
      <family val="2"/>
    </font>
    <font>
      <sz val="11"/>
      <color theme="1"/>
      <name val="Calibri"/>
      <family val="2"/>
    </font>
    <font>
      <sz val="10"/>
      <color theme="1"/>
      <name val="Calibri"/>
      <family val="2"/>
    </font>
    <font>
      <b/>
      <sz val="9"/>
      <color theme="1"/>
      <name val="Arial"/>
      <family val="2"/>
    </font>
    <font>
      <b/>
      <sz val="7"/>
      <color theme="1"/>
      <name val="Arial"/>
      <family val="2"/>
    </font>
    <font>
      <b/>
      <sz val="12"/>
      <color rgb="FF00B050"/>
      <name val="Arial"/>
      <family val="2"/>
    </font>
    <font>
      <sz val="12"/>
      <color rgb="FF00B050"/>
      <name val="Arial"/>
      <family val="2"/>
    </font>
    <font>
      <sz val="11"/>
      <color theme="1"/>
      <name val="Arial"/>
      <family val="2"/>
    </font>
    <font>
      <b/>
      <sz val="48"/>
      <color theme="1"/>
      <name val="Arial"/>
      <family val="2"/>
    </font>
    <font>
      <b/>
      <sz val="10"/>
      <color rgb="FF000000"/>
      <name val="Calibri"/>
      <family val="2"/>
    </font>
    <font>
      <sz val="10"/>
      <color rgb="FF000000"/>
      <name val="Calibri"/>
      <family val="2"/>
    </font>
    <font>
      <b/>
      <sz val="8"/>
      <color theme="1"/>
      <name val="Arial"/>
      <family val="2"/>
    </font>
    <font>
      <sz val="10"/>
      <color theme="0"/>
      <name val="Arial"/>
      <family val="2"/>
    </font>
    <font>
      <b/>
      <sz val="6"/>
      <color theme="1"/>
      <name val="Arial"/>
      <family val="2"/>
    </font>
    <font>
      <b/>
      <sz val="11"/>
      <color theme="0"/>
      <name val="Calibri"/>
      <family val="2"/>
      <scheme val="minor"/>
    </font>
    <font>
      <b/>
      <sz val="11"/>
      <color theme="1"/>
      <name val="Calibri"/>
      <family val="2"/>
      <scheme val="minor"/>
    </font>
    <font>
      <sz val="8"/>
      <color theme="1"/>
      <name val="Calibri"/>
      <family val="2"/>
      <scheme val="minor"/>
    </font>
    <font>
      <i/>
      <sz val="11"/>
      <color theme="0"/>
      <name val="Calibri"/>
      <family val="2"/>
      <scheme val="minor"/>
    </font>
    <font>
      <i/>
      <sz val="11"/>
      <color theme="1"/>
      <name val="Calibri"/>
      <family val="2"/>
      <scheme val="minor"/>
    </font>
    <font>
      <sz val="11"/>
      <color rgb="FF000000"/>
      <name val="Arial"/>
      <family val="2"/>
    </font>
    <font>
      <sz val="9"/>
      <color rgb="FF000000"/>
      <name val="Arial"/>
      <family val="2"/>
    </font>
    <font>
      <sz val="10"/>
      <color theme="1"/>
      <name val="Calibri"/>
      <family val="2"/>
      <scheme val="minor"/>
    </font>
    <font>
      <sz val="11"/>
      <name val="Calibri"/>
      <family val="2"/>
      <scheme val="minor"/>
    </font>
    <font>
      <sz val="11"/>
      <color theme="0"/>
      <name val="Arial"/>
      <family val="2"/>
    </font>
    <font>
      <b/>
      <sz val="10"/>
      <color theme="0"/>
      <name val="Arial-BoldMT"/>
    </font>
    <font>
      <sz val="8"/>
      <color theme="0"/>
      <name val="ArialMT"/>
    </font>
    <font>
      <b/>
      <sz val="12"/>
      <color theme="1"/>
      <name val="Calibri"/>
      <family val="2"/>
      <scheme val="minor"/>
    </font>
    <font>
      <b/>
      <sz val="11"/>
      <color rgb="FF000000"/>
      <name val="Arial"/>
      <family val="2"/>
    </font>
    <font>
      <sz val="10"/>
      <name val="Arial"/>
      <family val="2"/>
    </font>
    <font>
      <sz val="8"/>
      <name val="Arial"/>
      <family val="2"/>
    </font>
    <font>
      <b/>
      <sz val="11"/>
      <color theme="1"/>
      <name val="Arial"/>
      <family val="2"/>
    </font>
    <font>
      <i/>
      <sz val="10"/>
      <name val="Arial"/>
      <family val="2"/>
    </font>
    <font>
      <b/>
      <sz val="10"/>
      <name val="Arial"/>
      <family val="2"/>
    </font>
    <font>
      <b/>
      <u/>
      <sz val="12"/>
      <name val="Arial"/>
      <family val="2"/>
    </font>
    <font>
      <sz val="9"/>
      <name val="Arial"/>
      <family val="2"/>
    </font>
    <font>
      <b/>
      <sz val="18"/>
      <color theme="1"/>
      <name val="Arial"/>
      <family val="2"/>
    </font>
    <font>
      <sz val="9"/>
      <color theme="1"/>
      <name val="Calibri"/>
      <family val="2"/>
      <scheme val="minor"/>
    </font>
    <font>
      <b/>
      <sz val="9"/>
      <color theme="0"/>
      <name val="Arial"/>
      <family val="2"/>
    </font>
    <font>
      <sz val="12"/>
      <color theme="1"/>
      <name val="Arial"/>
      <family val="2"/>
    </font>
    <font>
      <b/>
      <sz val="12"/>
      <color rgb="FFFF0000"/>
      <name val="Arial"/>
      <family val="2"/>
    </font>
    <font>
      <b/>
      <sz val="9"/>
      <color rgb="FF000000"/>
      <name val="Arial"/>
      <family val="2"/>
    </font>
    <font>
      <b/>
      <sz val="10"/>
      <color rgb="FF000000"/>
      <name val="Arial"/>
      <family val="2"/>
    </font>
    <font>
      <i/>
      <sz val="10"/>
      <color rgb="FF000000"/>
      <name val="TimesNewRoman"/>
    </font>
    <font>
      <sz val="10"/>
      <color rgb="FF000000"/>
      <name val="TimesNewRoman"/>
    </font>
    <font>
      <sz val="8"/>
      <color rgb="FF000000"/>
      <name val="Arial"/>
      <family val="2"/>
    </font>
    <font>
      <sz val="10"/>
      <color rgb="FF000000"/>
      <name val="Arial"/>
      <family val="2"/>
    </font>
    <font>
      <b/>
      <sz val="8"/>
      <color theme="1"/>
      <name val="Tahoma"/>
      <family val="2"/>
    </font>
    <font>
      <sz val="8"/>
      <color theme="5" tint="-0.249977111117893"/>
      <name val="Tahoma"/>
      <family val="2"/>
    </font>
    <font>
      <b/>
      <sz val="8"/>
      <color theme="5" tint="-0.249977111117893"/>
      <name val="Tahoma"/>
      <family val="2"/>
    </font>
    <font>
      <u/>
      <sz val="8"/>
      <color theme="10"/>
      <name val="Arial"/>
      <family val="2"/>
    </font>
    <font>
      <b/>
      <sz val="10"/>
      <color theme="0"/>
      <name val="Arial"/>
      <family val="2"/>
    </font>
    <font>
      <sz val="8"/>
      <color rgb="FF0000FF"/>
      <name val="Tahoma"/>
      <family val="2"/>
    </font>
    <font>
      <sz val="9"/>
      <color theme="0"/>
      <name val="Arial"/>
      <family val="2"/>
    </font>
    <font>
      <b/>
      <sz val="14"/>
      <color theme="1"/>
      <name val="Calibri"/>
      <family val="2"/>
      <scheme val="minor"/>
    </font>
    <font>
      <sz val="10"/>
      <color rgb="FFFF0000"/>
      <name val="Arial"/>
      <family val="2"/>
    </font>
    <font>
      <b/>
      <sz val="11"/>
      <color rgb="FFFF0000"/>
      <name val="Calibri"/>
      <family val="2"/>
      <scheme val="minor"/>
    </font>
    <font>
      <i/>
      <sz val="11"/>
      <color rgb="FFFF0000"/>
      <name val="Calibri"/>
      <family val="2"/>
      <scheme val="minor"/>
    </font>
    <font>
      <b/>
      <sz val="8"/>
      <color rgb="FFFF0000"/>
      <name val="Calibri"/>
      <family val="2"/>
      <scheme val="minor"/>
    </font>
    <font>
      <b/>
      <sz val="10"/>
      <color theme="2" tint="-0.499984740745262"/>
      <name val="Arial"/>
      <family val="2"/>
    </font>
    <font>
      <b/>
      <sz val="10"/>
      <color rgb="FFFF0000"/>
      <name val="Arial"/>
      <family val="2"/>
    </font>
  </fonts>
  <fills count="19">
    <fill>
      <patternFill patternType="none"/>
    </fill>
    <fill>
      <patternFill patternType="gray125"/>
    </fill>
    <fill>
      <patternFill patternType="solid">
        <fgColor rgb="FFFFFF00"/>
        <bgColor indexed="64"/>
      </patternFill>
    </fill>
    <fill>
      <patternFill patternType="solid">
        <fgColor rgb="FFCDCECE"/>
        <bgColor indexed="64"/>
      </patternFill>
    </fill>
    <fill>
      <patternFill patternType="solid">
        <fgColor rgb="FFF2F2F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FFC000"/>
        <bgColor indexed="64"/>
      </patternFill>
    </fill>
    <fill>
      <patternFill patternType="solid">
        <fgColor rgb="FFF6EA94"/>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rgb="FFEAEAEA"/>
        <bgColor indexed="64"/>
      </patternFill>
    </fill>
    <fill>
      <patternFill patternType="solid">
        <fgColor indexed="42"/>
        <bgColor indexed="64"/>
      </patternFill>
    </fill>
    <fill>
      <patternFill patternType="solid">
        <fgColor indexed="27"/>
        <bgColor indexed="64"/>
      </patternFill>
    </fill>
    <fill>
      <patternFill patternType="solid">
        <fgColor rgb="FFFFFF99"/>
        <bgColor rgb="FF000000"/>
      </patternFill>
    </fill>
    <fill>
      <patternFill patternType="lightVertical">
        <fgColor rgb="FFDDDDDD"/>
        <bgColor rgb="FFFFFF99"/>
      </patternFill>
    </fill>
    <fill>
      <patternFill patternType="solid">
        <fgColor theme="5"/>
        <bgColor indexed="64"/>
      </patternFill>
    </fill>
    <fill>
      <patternFill patternType="solid">
        <fgColor rgb="FFFF7C80"/>
        <bgColor indexed="64"/>
      </patternFill>
    </fill>
  </fills>
  <borders count="105">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right style="thin">
        <color indexed="64"/>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style="thin">
        <color indexed="64"/>
      </left>
      <right style="hair">
        <color auto="1"/>
      </right>
      <top style="thin">
        <color indexed="64"/>
      </top>
      <bottom style="thin">
        <color indexed="64"/>
      </bottom>
      <diagonal/>
    </border>
    <border>
      <left style="hair">
        <color auto="1"/>
      </left>
      <right/>
      <top/>
      <bottom style="hair">
        <color auto="1"/>
      </bottom>
      <diagonal/>
    </border>
    <border>
      <left/>
      <right style="hair">
        <color auto="1"/>
      </right>
      <top/>
      <bottom style="hair">
        <color auto="1"/>
      </bottom>
      <diagonal/>
    </border>
    <border>
      <left style="thin">
        <color auto="1"/>
      </left>
      <right style="hair">
        <color auto="1"/>
      </right>
      <top style="hair">
        <color auto="1"/>
      </top>
      <bottom style="hair">
        <color auto="1"/>
      </bottom>
      <diagonal/>
    </border>
    <border>
      <left style="thin">
        <color auto="1"/>
      </left>
      <right/>
      <top style="hair">
        <color auto="1"/>
      </top>
      <bottom style="hair">
        <color indexed="64"/>
      </bottom>
      <diagonal/>
    </border>
    <border>
      <left/>
      <right style="thin">
        <color indexed="64"/>
      </right>
      <top style="hair">
        <color auto="1"/>
      </top>
      <bottom style="hair">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indexed="64"/>
      </right>
      <top style="thin">
        <color rgb="FFDDDDDD"/>
      </top>
      <bottom style="thin">
        <color rgb="FFDDDDDD"/>
      </bottom>
      <diagonal/>
    </border>
    <border>
      <left style="thin">
        <color indexed="64"/>
      </left>
      <right/>
      <top style="thin">
        <color indexed="64"/>
      </top>
      <bottom style="thin">
        <color rgb="FFDDDDDD"/>
      </bottom>
      <diagonal/>
    </border>
    <border>
      <left/>
      <right style="thin">
        <color indexed="64"/>
      </right>
      <top style="thin">
        <color indexed="64"/>
      </top>
      <bottom style="thin">
        <color rgb="FFDDDDDD"/>
      </bottom>
      <diagonal/>
    </border>
    <border>
      <left style="thin">
        <color indexed="64"/>
      </left>
      <right/>
      <top style="thin">
        <color rgb="FFDDDDDD"/>
      </top>
      <bottom style="thin">
        <color rgb="FFDDDDDD"/>
      </bottom>
      <diagonal/>
    </border>
    <border>
      <left style="thin">
        <color indexed="64"/>
      </left>
      <right/>
      <top style="thin">
        <color rgb="FFDDDDDD"/>
      </top>
      <bottom style="thin">
        <color indexed="64"/>
      </bottom>
      <diagonal/>
    </border>
    <border>
      <left/>
      <right style="thin">
        <color indexed="64"/>
      </right>
      <top style="thin">
        <color rgb="FFDDDDDD"/>
      </top>
      <bottom style="thin">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top style="thin">
        <color rgb="FFDDDDDD"/>
      </top>
      <bottom style="thin">
        <color rgb="FFDDDDDD"/>
      </bottom>
      <diagonal/>
    </border>
    <border>
      <left style="thin">
        <color indexed="64"/>
      </left>
      <right style="medium">
        <color indexed="64"/>
      </right>
      <top style="thin">
        <color indexed="64"/>
      </top>
      <bottom style="thin">
        <color rgb="FFDDDDDD"/>
      </bottom>
      <diagonal/>
    </border>
    <border>
      <left style="thin">
        <color indexed="64"/>
      </left>
      <right style="medium">
        <color indexed="64"/>
      </right>
      <top style="thin">
        <color rgb="FFDDDDDD"/>
      </top>
      <bottom style="thin">
        <color rgb="FFDDDDDD"/>
      </bottom>
      <diagonal/>
    </border>
    <border>
      <left style="thin">
        <color indexed="64"/>
      </left>
      <right style="medium">
        <color indexed="64"/>
      </right>
      <top style="thin">
        <color rgb="FFDDDDDD"/>
      </top>
      <bottom style="thin">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thin">
        <color rgb="FFC0C0C0"/>
      </left>
      <right style="thin">
        <color rgb="FFC0C0C0"/>
      </right>
      <top style="thin">
        <color rgb="FFC0C0C0"/>
      </top>
      <bottom style="thin">
        <color rgb="FFC0C0C0"/>
      </bottom>
      <diagonal/>
    </border>
    <border>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rgb="FF000000"/>
      </bottom>
      <diagonal/>
    </border>
  </borders>
  <cellStyleXfs count="26">
    <xf numFmtId="0" fontId="0"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10" fillId="0" borderId="0"/>
    <xf numFmtId="44" fontId="10" fillId="0" borderId="0" applyFont="0" applyFill="0" applyBorder="0" applyAlignment="0" applyProtection="0"/>
    <xf numFmtId="0" fontId="16" fillId="0" borderId="0"/>
    <xf numFmtId="0" fontId="17" fillId="0" borderId="0" applyNumberFormat="0" applyFill="0" applyBorder="0" applyAlignment="0" applyProtection="0">
      <alignment vertical="top"/>
      <protection locked="0"/>
    </xf>
    <xf numFmtId="0" fontId="18" fillId="0" borderId="0" applyNumberFormat="0" applyFill="0" applyBorder="0" applyAlignment="0" applyProtection="0"/>
    <xf numFmtId="9" fontId="16" fillId="0" borderId="0" applyFont="0" applyFill="0" applyBorder="0" applyAlignment="0" applyProtection="0"/>
    <xf numFmtId="0" fontId="51" fillId="0" borderId="0"/>
    <xf numFmtId="9" fontId="16" fillId="0" borderId="0" applyFont="0" applyFill="0" applyBorder="0" applyAlignment="0" applyProtection="0"/>
    <xf numFmtId="0" fontId="7" fillId="0" borderId="0"/>
    <xf numFmtId="0" fontId="6" fillId="0" borderId="0"/>
    <xf numFmtId="0" fontId="8" fillId="0" borderId="0"/>
    <xf numFmtId="43" fontId="8" fillId="0" borderId="0" applyFont="0" applyFill="0" applyBorder="0" applyAlignment="0" applyProtection="0"/>
    <xf numFmtId="0" fontId="5" fillId="0" borderId="0"/>
    <xf numFmtId="0" fontId="4" fillId="0" borderId="0"/>
    <xf numFmtId="0" fontId="4" fillId="0" borderId="0"/>
    <xf numFmtId="0" fontId="3" fillId="0" borderId="0"/>
    <xf numFmtId="0" fontId="3" fillId="0" borderId="0"/>
    <xf numFmtId="0" fontId="74" fillId="15" borderId="84">
      <alignment vertical="top" wrapText="1" shrinkToFit="1"/>
      <protection locked="0"/>
    </xf>
    <xf numFmtId="0" fontId="74" fillId="16" borderId="84">
      <alignment horizontal="center" vertical="center" wrapText="1" shrinkToFit="1"/>
      <protection locked="0"/>
    </xf>
    <xf numFmtId="0" fontId="2" fillId="0" borderId="0"/>
    <xf numFmtId="0" fontId="1" fillId="0" borderId="0"/>
    <xf numFmtId="0" fontId="1" fillId="0" borderId="0"/>
  </cellStyleXfs>
  <cellXfs count="664">
    <xf numFmtId="0" fontId="0" fillId="0" borderId="0" xfId="0"/>
    <xf numFmtId="0" fontId="0" fillId="0" borderId="0" xfId="0" applyAlignment="1">
      <alignment horizontal="left" vertical="top"/>
    </xf>
    <xf numFmtId="9" fontId="0" fillId="0" borderId="9" xfId="3" applyFont="1" applyBorder="1" applyAlignment="1">
      <alignment horizontal="left" vertical="top"/>
    </xf>
    <xf numFmtId="9" fontId="0" fillId="0" borderId="7" xfId="3" applyFont="1" applyBorder="1" applyAlignment="1">
      <alignment horizontal="left" vertical="top"/>
    </xf>
    <xf numFmtId="0" fontId="9" fillId="0" borderId="0" xfId="0" applyFont="1" applyAlignment="1">
      <alignment horizontal="left" vertical="top"/>
    </xf>
    <xf numFmtId="9" fontId="12" fillId="0" borderId="7" xfId="3" applyFont="1" applyBorder="1" applyAlignment="1">
      <alignment horizontal="left" vertical="top"/>
    </xf>
    <xf numFmtId="0" fontId="13" fillId="0" borderId="0" xfId="0" applyFont="1" applyAlignment="1">
      <alignment horizontal="left" vertical="top"/>
    </xf>
    <xf numFmtId="0" fontId="11" fillId="0" borderId="0" xfId="0" applyFont="1" applyAlignment="1">
      <alignment horizontal="left" vertical="top"/>
    </xf>
    <xf numFmtId="164" fontId="12" fillId="0" borderId="11" xfId="2" applyNumberFormat="1" applyFont="1" applyBorder="1" applyAlignment="1">
      <alignment horizontal="left" vertical="top"/>
    </xf>
    <xf numFmtId="0" fontId="13" fillId="0" borderId="12" xfId="0" applyFont="1" applyBorder="1" applyAlignment="1">
      <alignment horizontal="left" vertical="top"/>
    </xf>
    <xf numFmtId="164" fontId="12" fillId="0" borderId="11" xfId="2" applyNumberFormat="1" applyFont="1" applyBorder="1" applyAlignment="1">
      <alignment horizontal="left" vertical="top" wrapText="1"/>
    </xf>
    <xf numFmtId="164" fontId="12" fillId="0" borderId="4" xfId="2" applyNumberFormat="1" applyFont="1" applyFill="1" applyBorder="1" applyAlignment="1">
      <alignment horizontal="left" vertical="top" wrapText="1"/>
    </xf>
    <xf numFmtId="0" fontId="19" fillId="0" borderId="6" xfId="0" applyFont="1" applyBorder="1" applyAlignment="1">
      <alignment horizontal="left" vertical="top"/>
    </xf>
    <xf numFmtId="165" fontId="0" fillId="2" borderId="7" xfId="1" applyNumberFormat="1" applyFont="1" applyFill="1" applyBorder="1" applyAlignment="1">
      <alignment horizontal="left" vertical="top" wrapText="1"/>
    </xf>
    <xf numFmtId="0" fontId="0" fillId="0" borderId="9" xfId="0" applyBorder="1" applyAlignment="1">
      <alignment horizontal="left" vertical="top" wrapText="1"/>
    </xf>
    <xf numFmtId="0" fontId="0" fillId="0" borderId="0" xfId="0" applyAlignment="1">
      <alignment horizontal="right"/>
    </xf>
    <xf numFmtId="0" fontId="11" fillId="0" borderId="7" xfId="0" applyFont="1" applyBorder="1" applyAlignment="1">
      <alignment horizontal="left" vertical="top"/>
    </xf>
    <xf numFmtId="0" fontId="29" fillId="0" borderId="0" xfId="0" applyFont="1" applyAlignment="1">
      <alignment horizontal="left" vertical="top"/>
    </xf>
    <xf numFmtId="165" fontId="0" fillId="0" borderId="0" xfId="0" applyNumberFormat="1" applyAlignment="1">
      <alignment horizontal="left" vertical="top"/>
    </xf>
    <xf numFmtId="0" fontId="0" fillId="0" borderId="9" xfId="0" applyBorder="1" applyAlignment="1">
      <alignment horizontal="left" vertical="top"/>
    </xf>
    <xf numFmtId="166" fontId="0" fillId="2" borderId="7" xfId="1" applyNumberFormat="1" applyFont="1" applyFill="1" applyBorder="1" applyAlignment="1">
      <alignment vertical="top"/>
    </xf>
    <xf numFmtId="0" fontId="18" fillId="0" borderId="0" xfId="8" applyAlignment="1">
      <alignment horizontal="left" vertical="top"/>
    </xf>
    <xf numFmtId="0" fontId="31" fillId="0" borderId="0" xfId="0" applyFont="1"/>
    <xf numFmtId="0" fontId="18" fillId="0" borderId="0" xfId="8"/>
    <xf numFmtId="0" fontId="0" fillId="0" borderId="1" xfId="0" applyBorder="1"/>
    <xf numFmtId="0" fontId="0" fillId="0" borderId="18" xfId="0" applyBorder="1"/>
    <xf numFmtId="0" fontId="0" fillId="0" borderId="10" xfId="0" applyBorder="1"/>
    <xf numFmtId="0" fontId="0" fillId="0" borderId="2" xfId="0" applyBorder="1"/>
    <xf numFmtId="0" fontId="0" fillId="0" borderId="0" xfId="0" applyBorder="1"/>
    <xf numFmtId="0" fontId="0" fillId="0" borderId="35" xfId="0" applyBorder="1"/>
    <xf numFmtId="0" fontId="0" fillId="0" borderId="3" xfId="0" applyBorder="1"/>
    <xf numFmtId="0" fontId="0" fillId="0" borderId="8" xfId="0" applyBorder="1"/>
    <xf numFmtId="0" fontId="0" fillId="0" borderId="11" xfId="0" applyBorder="1"/>
    <xf numFmtId="0" fontId="30" fillId="0" borderId="2" xfId="0" applyFont="1" applyBorder="1"/>
    <xf numFmtId="0" fontId="0" fillId="0" borderId="8" xfId="0" applyBorder="1" applyAlignment="1">
      <alignment horizontal="right"/>
    </xf>
    <xf numFmtId="2" fontId="0" fillId="0" borderId="0" xfId="0" applyNumberFormat="1" applyBorder="1"/>
    <xf numFmtId="1" fontId="0" fillId="0" borderId="0" xfId="0" applyNumberFormat="1" applyBorder="1"/>
    <xf numFmtId="2" fontId="0" fillId="0" borderId="35" xfId="0" applyNumberFormat="1" applyBorder="1"/>
    <xf numFmtId="9" fontId="0" fillId="0" borderId="0" xfId="3" applyFont="1"/>
    <xf numFmtId="0" fontId="0" fillId="0" borderId="36" xfId="0" applyBorder="1" applyAlignment="1">
      <alignment horizontal="left"/>
    </xf>
    <xf numFmtId="0" fontId="0" fillId="0" borderId="37" xfId="0" applyBorder="1" applyAlignment="1">
      <alignment horizontal="left" vertical="top"/>
    </xf>
    <xf numFmtId="165" fontId="0" fillId="2" borderId="39" xfId="1" applyNumberFormat="1" applyFont="1" applyFill="1" applyBorder="1" applyAlignment="1">
      <alignment horizontal="left" vertical="top" wrapText="1"/>
    </xf>
    <xf numFmtId="165" fontId="0" fillId="0" borderId="41" xfId="0" applyNumberFormat="1" applyBorder="1" applyAlignment="1">
      <alignment horizontal="left" vertical="top"/>
    </xf>
    <xf numFmtId="165" fontId="12" fillId="0" borderId="7" xfId="1" applyNumberFormat="1" applyFont="1" applyBorder="1" applyAlignment="1">
      <alignment horizontal="left" vertical="top"/>
    </xf>
    <xf numFmtId="1" fontId="35" fillId="0" borderId="0" xfId="0" applyNumberFormat="1" applyFont="1" applyAlignment="1">
      <alignment horizontal="left" vertical="top"/>
    </xf>
    <xf numFmtId="0" fontId="12" fillId="0" borderId="38" xfId="0" applyFont="1" applyBorder="1" applyAlignment="1">
      <alignment horizontal="left" vertical="top" wrapText="1"/>
    </xf>
    <xf numFmtId="0" fontId="0" fillId="2" borderId="0" xfId="0" applyFill="1"/>
    <xf numFmtId="0" fontId="0" fillId="0" borderId="32" xfId="0" applyBorder="1"/>
    <xf numFmtId="164" fontId="0" fillId="0" borderId="44" xfId="2" applyNumberFormat="1" applyFont="1" applyBorder="1" applyAlignment="1"/>
    <xf numFmtId="164" fontId="0" fillId="0" borderId="22" xfId="2" applyNumberFormat="1" applyFont="1" applyBorder="1"/>
    <xf numFmtId="2" fontId="0" fillId="0" borderId="44" xfId="0" applyNumberFormat="1" applyBorder="1"/>
    <xf numFmtId="2" fontId="0" fillId="0" borderId="0" xfId="0" applyNumberFormat="1"/>
    <xf numFmtId="164" fontId="0" fillId="0" borderId="0" xfId="2" applyNumberFormat="1" applyFont="1"/>
    <xf numFmtId="0" fontId="22" fillId="0" borderId="0" xfId="0" applyFont="1" applyAlignment="1">
      <alignment horizontal="right"/>
    </xf>
    <xf numFmtId="0" fontId="0" fillId="0" borderId="18" xfId="0" applyBorder="1" applyAlignment="1">
      <alignment horizontal="right"/>
    </xf>
    <xf numFmtId="0" fontId="0" fillId="0" borderId="0" xfId="0" applyBorder="1" applyAlignment="1">
      <alignment horizontal="right"/>
    </xf>
    <xf numFmtId="0" fontId="0" fillId="0" borderId="10" xfId="0" applyBorder="1" applyAlignment="1">
      <alignment horizontal="right"/>
    </xf>
    <xf numFmtId="0" fontId="0" fillId="0" borderId="35" xfId="0" applyBorder="1" applyAlignment="1">
      <alignment horizontal="right"/>
    </xf>
    <xf numFmtId="0" fontId="0" fillId="0" borderId="11" xfId="0" applyBorder="1" applyAlignment="1">
      <alignment horizontal="right"/>
    </xf>
    <xf numFmtId="2" fontId="0" fillId="0" borderId="42" xfId="0" applyNumberFormat="1" applyBorder="1" applyAlignment="1">
      <alignment horizontal="right"/>
    </xf>
    <xf numFmtId="2" fontId="0" fillId="0" borderId="0" xfId="0" applyNumberFormat="1" applyAlignment="1">
      <alignment horizontal="right"/>
    </xf>
    <xf numFmtId="0" fontId="9" fillId="0" borderId="0" xfId="0" applyFont="1"/>
    <xf numFmtId="0" fontId="9" fillId="0" borderId="43" xfId="0" applyFont="1" applyBorder="1" applyAlignment="1">
      <alignment horizontal="right"/>
    </xf>
    <xf numFmtId="164" fontId="9" fillId="0" borderId="44" xfId="2" applyNumberFormat="1" applyFont="1" applyBorder="1" applyAlignment="1"/>
    <xf numFmtId="2" fontId="9" fillId="0" borderId="0" xfId="0" applyNumberFormat="1" applyFont="1"/>
    <xf numFmtId="1" fontId="9" fillId="0" borderId="43" xfId="0" applyNumberFormat="1" applyFont="1" applyBorder="1" applyAlignment="1">
      <alignment horizontal="right"/>
    </xf>
    <xf numFmtId="0" fontId="12" fillId="0" borderId="40" xfId="0" applyFont="1" applyBorder="1" applyAlignment="1">
      <alignment horizontal="left" vertical="top" wrapText="1"/>
    </xf>
    <xf numFmtId="0" fontId="21" fillId="0" borderId="0" xfId="0" applyFont="1" applyAlignment="1">
      <alignment horizontal="left"/>
    </xf>
    <xf numFmtId="0" fontId="0" fillId="0" borderId="0" xfId="0" applyAlignment="1">
      <alignment horizontal="left"/>
    </xf>
    <xf numFmtId="0" fontId="13" fillId="0" borderId="0" xfId="0" applyFont="1" applyAlignment="1">
      <alignment horizontal="left" vertical="top" wrapText="1"/>
    </xf>
    <xf numFmtId="0" fontId="40" fillId="0" borderId="0" xfId="0" applyFont="1" applyAlignment="1">
      <alignment horizontal="center"/>
    </xf>
    <xf numFmtId="0" fontId="0" fillId="0" borderId="0" xfId="0" applyAlignment="1">
      <alignment horizontal="left" vertical="center"/>
    </xf>
    <xf numFmtId="0" fontId="16" fillId="0" borderId="0" xfId="0" applyFont="1"/>
    <xf numFmtId="0" fontId="0" fillId="0" borderId="7" xfId="0" applyBorder="1" applyAlignment="1">
      <alignment vertical="center"/>
    </xf>
    <xf numFmtId="0" fontId="0" fillId="0" borderId="0" xfId="0" applyAlignment="1">
      <alignment vertical="top" wrapText="1"/>
    </xf>
    <xf numFmtId="0" fontId="35" fillId="0" borderId="0" xfId="0" applyFont="1"/>
    <xf numFmtId="9" fontId="35" fillId="0" borderId="0" xfId="3" applyFont="1" applyFill="1" applyBorder="1" applyAlignment="1"/>
    <xf numFmtId="165" fontId="0" fillId="8" borderId="7" xfId="1" applyNumberFormat="1" applyFont="1" applyFill="1" applyBorder="1" applyAlignment="1">
      <alignment horizontal="left" vertical="top" wrapText="1"/>
    </xf>
    <xf numFmtId="0" fontId="16" fillId="0" borderId="0" xfId="0" applyFont="1" applyAlignment="1">
      <alignment horizontal="left"/>
    </xf>
    <xf numFmtId="0" fontId="0" fillId="0" borderId="2" xfId="0" applyBorder="1" applyAlignment="1">
      <alignment horizontal="left" vertical="top"/>
    </xf>
    <xf numFmtId="2" fontId="16" fillId="0" borderId="7" xfId="6" applyNumberFormat="1" applyBorder="1"/>
    <xf numFmtId="0" fontId="16" fillId="0" borderId="0" xfId="6"/>
    <xf numFmtId="0" fontId="53" fillId="0" borderId="0" xfId="0" applyFont="1"/>
    <xf numFmtId="0" fontId="16" fillId="2" borderId="0" xfId="6" applyFill="1" applyBorder="1" applyAlignment="1">
      <alignment horizontal="center"/>
    </xf>
    <xf numFmtId="168" fontId="16" fillId="2" borderId="0" xfId="6" applyNumberFormat="1" applyFill="1" applyBorder="1" applyAlignment="1">
      <alignment horizontal="center"/>
    </xf>
    <xf numFmtId="2" fontId="16" fillId="0" borderId="0" xfId="6" applyNumberFormat="1" applyBorder="1" applyAlignment="1">
      <alignment horizontal="center"/>
    </xf>
    <xf numFmtId="0" fontId="58" fillId="0" borderId="1" xfId="0" applyFont="1" applyBorder="1"/>
    <xf numFmtId="173" fontId="55" fillId="0" borderId="16" xfId="6" applyNumberFormat="1" applyFont="1" applyBorder="1" applyAlignment="1">
      <alignment horizontal="center" vertical="center"/>
    </xf>
    <xf numFmtId="2" fontId="16" fillId="0" borderId="50" xfId="6" applyNumberFormat="1" applyBorder="1"/>
    <xf numFmtId="0" fontId="8" fillId="0" borderId="0" xfId="14" applyAlignment="1">
      <alignment horizontal="center"/>
    </xf>
    <xf numFmtId="0" fontId="8" fillId="0" borderId="0" xfId="14" applyAlignment="1">
      <alignment horizontal="left"/>
    </xf>
    <xf numFmtId="0" fontId="8" fillId="0" borderId="32" xfId="14" applyBorder="1" applyAlignment="1">
      <alignment horizontal="left"/>
    </xf>
    <xf numFmtId="0" fontId="8" fillId="0" borderId="32" xfId="14" applyBorder="1" applyAlignment="1">
      <alignment horizontal="center"/>
    </xf>
    <xf numFmtId="0" fontId="8" fillId="0" borderId="0" xfId="14" applyFont="1"/>
    <xf numFmtId="0" fontId="8" fillId="2" borderId="0" xfId="14" applyFill="1" applyAlignment="1">
      <alignment horizontal="center"/>
    </xf>
    <xf numFmtId="0" fontId="8" fillId="0" borderId="0" xfId="14" applyAlignment="1">
      <alignment horizontal="right"/>
    </xf>
    <xf numFmtId="169" fontId="9" fillId="2" borderId="9" xfId="14" applyNumberFormat="1" applyFont="1" applyFill="1" applyBorder="1" applyAlignment="1">
      <alignment horizontal="center" vertical="center"/>
    </xf>
    <xf numFmtId="0" fontId="8" fillId="0" borderId="4" xfId="14" applyBorder="1" applyAlignment="1">
      <alignment horizontal="center"/>
    </xf>
    <xf numFmtId="171" fontId="8" fillId="0" borderId="0" xfId="14" applyNumberFormat="1" applyAlignment="1">
      <alignment horizontal="center"/>
    </xf>
    <xf numFmtId="1" fontId="11" fillId="0" borderId="7" xfId="15" applyNumberFormat="1" applyFont="1" applyBorder="1" applyAlignment="1">
      <alignment horizontal="center"/>
    </xf>
    <xf numFmtId="1" fontId="11" fillId="0" borderId="50" xfId="15" applyNumberFormat="1" applyFont="1" applyBorder="1" applyAlignment="1">
      <alignment horizontal="center"/>
    </xf>
    <xf numFmtId="170" fontId="8" fillId="0" borderId="4" xfId="14" applyNumberFormat="1" applyBorder="1" applyAlignment="1">
      <alignment horizontal="center"/>
    </xf>
    <xf numFmtId="172" fontId="11" fillId="0" borderId="7" xfId="15" applyNumberFormat="1" applyFont="1" applyBorder="1" applyAlignment="1">
      <alignment horizontal="center"/>
    </xf>
    <xf numFmtId="171" fontId="9" fillId="0" borderId="16" xfId="14" applyNumberFormat="1" applyFont="1" applyBorder="1" applyAlignment="1">
      <alignment horizontal="center" vertical="center"/>
    </xf>
    <xf numFmtId="171" fontId="9" fillId="0" borderId="17" xfId="14" applyNumberFormat="1" applyFont="1" applyBorder="1" applyAlignment="1">
      <alignment horizontal="center" vertical="center"/>
    </xf>
    <xf numFmtId="0" fontId="9" fillId="0" borderId="7" xfId="14" applyFont="1" applyBorder="1" applyAlignment="1">
      <alignment horizontal="center" vertical="top" wrapText="1"/>
    </xf>
    <xf numFmtId="0" fontId="9" fillId="0" borderId="11" xfId="14" applyFont="1" applyBorder="1" applyAlignment="1">
      <alignment horizontal="center" vertical="top" wrapText="1"/>
    </xf>
    <xf numFmtId="0" fontId="9" fillId="0" borderId="8" xfId="14" applyFont="1" applyBorder="1" applyAlignment="1">
      <alignment horizontal="center" vertical="top" wrapText="1"/>
    </xf>
    <xf numFmtId="0" fontId="8" fillId="0" borderId="3" xfId="14" applyBorder="1" applyAlignment="1">
      <alignment horizontal="center"/>
    </xf>
    <xf numFmtId="0" fontId="9" fillId="0" borderId="9" xfId="14" applyFont="1" applyBorder="1" applyAlignment="1">
      <alignment horizontal="center" vertical="top" wrapText="1"/>
    </xf>
    <xf numFmtId="0" fontId="9" fillId="0" borderId="10" xfId="14" applyFont="1" applyBorder="1" applyAlignment="1">
      <alignment horizontal="center" vertical="top" wrapText="1"/>
    </xf>
    <xf numFmtId="0" fontId="9" fillId="0" borderId="18" xfId="14" applyFont="1" applyBorder="1" applyAlignment="1">
      <alignment horizontal="center" vertical="top" wrapText="1"/>
    </xf>
    <xf numFmtId="0" fontId="8" fillId="0" borderId="1" xfId="14" applyBorder="1" applyAlignment="1">
      <alignment horizontal="center"/>
    </xf>
    <xf numFmtId="0" fontId="8" fillId="0" borderId="0" xfId="14" applyBorder="1" applyAlignment="1">
      <alignment horizontal="center"/>
    </xf>
    <xf numFmtId="0" fontId="8" fillId="0" borderId="24" xfId="14" applyBorder="1" applyAlignment="1">
      <alignment horizontal="left"/>
    </xf>
    <xf numFmtId="0" fontId="8" fillId="0" borderId="23" xfId="14" applyBorder="1" applyAlignment="1">
      <alignment horizontal="left"/>
    </xf>
    <xf numFmtId="0" fontId="8" fillId="0" borderId="30" xfId="14" applyBorder="1" applyAlignment="1">
      <alignment horizontal="left"/>
    </xf>
    <xf numFmtId="0" fontId="8" fillId="0" borderId="33" xfId="14" applyBorder="1" applyAlignment="1">
      <alignment horizontal="center"/>
    </xf>
    <xf numFmtId="0" fontId="8" fillId="0" borderId="27" xfId="14" applyBorder="1" applyAlignment="1">
      <alignment horizontal="left"/>
    </xf>
    <xf numFmtId="0" fontId="8" fillId="0" borderId="23" xfId="14" applyBorder="1" applyAlignment="1">
      <alignment horizontal="center"/>
    </xf>
    <xf numFmtId="0" fontId="8" fillId="0" borderId="23" xfId="14" applyBorder="1" applyAlignment="1">
      <alignment horizontal="left" vertical="top"/>
    </xf>
    <xf numFmtId="0" fontId="8" fillId="0" borderId="8" xfId="14" applyBorder="1" applyAlignment="1">
      <alignment horizontal="left"/>
    </xf>
    <xf numFmtId="0" fontId="8" fillId="2" borderId="8" xfId="14" applyFill="1" applyBorder="1" applyAlignment="1">
      <alignment horizontal="right"/>
    </xf>
    <xf numFmtId="0" fontId="8" fillId="0" borderId="8" xfId="14" applyBorder="1" applyAlignment="1">
      <alignment horizontal="right"/>
    </xf>
    <xf numFmtId="0" fontId="8" fillId="0" borderId="22" xfId="14" applyBorder="1" applyAlignment="1">
      <alignment horizontal="left"/>
    </xf>
    <xf numFmtId="0" fontId="8" fillId="0" borderId="21" xfId="14" applyBorder="1" applyAlignment="1">
      <alignment horizontal="left"/>
    </xf>
    <xf numFmtId="0" fontId="8" fillId="0" borderId="29" xfId="14" applyBorder="1" applyAlignment="1">
      <alignment horizontal="left"/>
    </xf>
    <xf numFmtId="0" fontId="8" fillId="0" borderId="26" xfId="14" applyBorder="1" applyAlignment="1">
      <alignment horizontal="left"/>
    </xf>
    <xf numFmtId="0" fontId="8" fillId="0" borderId="21" xfId="14" applyBorder="1" applyAlignment="1">
      <alignment horizontal="center"/>
    </xf>
    <xf numFmtId="0" fontId="8" fillId="0" borderId="21" xfId="14" applyBorder="1" applyAlignment="1">
      <alignment horizontal="left" vertical="top"/>
    </xf>
    <xf numFmtId="0" fontId="8" fillId="0" borderId="2" xfId="14" applyBorder="1" applyAlignment="1">
      <alignment horizontal="left"/>
    </xf>
    <xf numFmtId="0" fontId="8" fillId="0" borderId="31" xfId="14" applyBorder="1" applyAlignment="1">
      <alignment horizontal="center"/>
    </xf>
    <xf numFmtId="0" fontId="8" fillId="0" borderId="2" xfId="14" applyBorder="1" applyAlignment="1">
      <alignment horizontal="left" vertical="center"/>
    </xf>
    <xf numFmtId="0" fontId="8" fillId="0" borderId="20" xfId="14" applyBorder="1" applyAlignment="1">
      <alignment horizontal="center"/>
    </xf>
    <xf numFmtId="0" fontId="8" fillId="0" borderId="19" xfId="14" applyBorder="1" applyAlignment="1">
      <alignment horizontal="center"/>
    </xf>
    <xf numFmtId="0" fontId="8" fillId="0" borderId="28" xfId="14" applyBorder="1" applyAlignment="1">
      <alignment horizontal="center"/>
    </xf>
    <xf numFmtId="0" fontId="8" fillId="0" borderId="34" xfId="14" applyBorder="1" applyAlignment="1">
      <alignment horizontal="center"/>
    </xf>
    <xf numFmtId="0" fontId="8" fillId="0" borderId="25" xfId="14" applyBorder="1" applyAlignment="1">
      <alignment horizontal="center"/>
    </xf>
    <xf numFmtId="0" fontId="9" fillId="0" borderId="19" xfId="14" applyFont="1" applyBorder="1" applyAlignment="1">
      <alignment horizontal="left"/>
    </xf>
    <xf numFmtId="0" fontId="8" fillId="0" borderId="18" xfId="14" applyBorder="1" applyAlignment="1">
      <alignment horizontal="center"/>
    </xf>
    <xf numFmtId="0" fontId="8" fillId="0" borderId="1" xfId="14" applyBorder="1" applyAlignment="1">
      <alignment horizontal="left" vertical="top"/>
    </xf>
    <xf numFmtId="0" fontId="8" fillId="0" borderId="0" xfId="14" applyBorder="1" applyAlignment="1">
      <alignment horizontal="center" vertical="center" wrapText="1"/>
    </xf>
    <xf numFmtId="170" fontId="8" fillId="0" borderId="7" xfId="14" applyNumberFormat="1" applyBorder="1" applyAlignment="1">
      <alignment horizontal="center"/>
    </xf>
    <xf numFmtId="170" fontId="8" fillId="0" borderId="50" xfId="14" applyNumberFormat="1" applyBorder="1" applyAlignment="1">
      <alignment horizontal="center"/>
    </xf>
    <xf numFmtId="0" fontId="8" fillId="0" borderId="4" xfId="14" applyBorder="1" applyAlignment="1">
      <alignment horizontal="center" vertical="center" wrapText="1"/>
    </xf>
    <xf numFmtId="0" fontId="8" fillId="0" borderId="7" xfId="14" applyBorder="1" applyAlignment="1">
      <alignment horizontal="center" vertical="center" wrapText="1"/>
    </xf>
    <xf numFmtId="170" fontId="8" fillId="0" borderId="49" xfId="14" applyNumberFormat="1" applyBorder="1" applyAlignment="1">
      <alignment horizontal="center"/>
    </xf>
    <xf numFmtId="170" fontId="8" fillId="0" borderId="48" xfId="14" applyNumberFormat="1" applyBorder="1" applyAlignment="1">
      <alignment horizontal="center"/>
    </xf>
    <xf numFmtId="0" fontId="9" fillId="0" borderId="0" xfId="14" applyFont="1" applyAlignment="1">
      <alignment horizontal="center" vertical="center"/>
    </xf>
    <xf numFmtId="167" fontId="9" fillId="2" borderId="16" xfId="14" applyNumberFormat="1" applyFont="1" applyFill="1" applyBorder="1" applyAlignment="1">
      <alignment horizontal="center" vertical="center"/>
    </xf>
    <xf numFmtId="167" fontId="9" fillId="0" borderId="16" xfId="14" applyNumberFormat="1" applyFont="1" applyBorder="1" applyAlignment="1">
      <alignment horizontal="center" vertical="center"/>
    </xf>
    <xf numFmtId="0" fontId="9" fillId="0" borderId="7" xfId="14" applyFont="1" applyBorder="1" applyAlignment="1">
      <alignment horizontal="center" vertical="center" wrapText="1"/>
    </xf>
    <xf numFmtId="0" fontId="9" fillId="0" borderId="0" xfId="14" applyFont="1" applyAlignment="1">
      <alignment horizontal="left" vertical="center"/>
    </xf>
    <xf numFmtId="0" fontId="8" fillId="0" borderId="0" xfId="14"/>
    <xf numFmtId="0" fontId="22" fillId="0" borderId="48" xfId="14" applyFont="1" applyBorder="1" applyAlignment="1">
      <alignment horizontal="center"/>
    </xf>
    <xf numFmtId="0" fontId="9" fillId="0" borderId="7" xfId="14" applyFont="1" applyBorder="1" applyAlignment="1">
      <alignment wrapText="1"/>
    </xf>
    <xf numFmtId="0" fontId="8" fillId="0" borderId="0" xfId="14" applyAlignment="1">
      <alignment horizontal="center" vertical="center"/>
    </xf>
    <xf numFmtId="0" fontId="21" fillId="0" borderId="0" xfId="14" applyFont="1" applyAlignment="1">
      <alignment horizontal="left" vertical="center"/>
    </xf>
    <xf numFmtId="0" fontId="9" fillId="0" borderId="0" xfId="14" applyFont="1" applyAlignment="1">
      <alignment vertical="center" wrapText="1"/>
    </xf>
    <xf numFmtId="0" fontId="9" fillId="0" borderId="7" xfId="14" applyFont="1" applyBorder="1" applyAlignment="1">
      <alignment horizontal="center" vertical="center"/>
    </xf>
    <xf numFmtId="0" fontId="9" fillId="2" borderId="7" xfId="14" applyFont="1" applyFill="1" applyBorder="1" applyAlignment="1">
      <alignment horizontal="center" vertical="center"/>
    </xf>
    <xf numFmtId="172" fontId="8" fillId="0" borderId="7" xfId="14" applyNumberFormat="1" applyBorder="1" applyAlignment="1">
      <alignment horizontal="center"/>
    </xf>
    <xf numFmtId="177" fontId="8" fillId="0" borderId="7" xfId="14" applyNumberFormat="1" applyBorder="1" applyAlignment="1">
      <alignment horizontal="center"/>
    </xf>
    <xf numFmtId="176" fontId="8" fillId="0" borderId="7" xfId="14" applyNumberFormat="1" applyBorder="1" applyAlignment="1">
      <alignment horizontal="center"/>
    </xf>
    <xf numFmtId="170" fontId="8" fillId="0" borderId="0" xfId="14" applyNumberFormat="1" applyAlignment="1">
      <alignment horizontal="center"/>
    </xf>
    <xf numFmtId="0" fontId="9" fillId="0" borderId="9" xfId="14" applyFont="1" applyBorder="1" applyAlignment="1">
      <alignment horizontal="center" vertical="center" wrapText="1"/>
    </xf>
    <xf numFmtId="0" fontId="8" fillId="0" borderId="0" xfId="14" applyAlignment="1"/>
    <xf numFmtId="0" fontId="27" fillId="0" borderId="7" xfId="14" applyFont="1" applyBorder="1" applyAlignment="1">
      <alignment horizontal="center" vertical="center" wrapText="1"/>
    </xf>
    <xf numFmtId="0" fontId="13" fillId="0" borderId="40" xfId="0" applyFont="1" applyBorder="1" applyAlignment="1">
      <alignment horizontal="left" vertical="top" wrapText="1"/>
    </xf>
    <xf numFmtId="0" fontId="0" fillId="0" borderId="7" xfId="0" applyBorder="1" applyAlignment="1">
      <alignment horizontal="center" vertical="center"/>
    </xf>
    <xf numFmtId="172" fontId="0" fillId="8" borderId="7" xfId="1" applyNumberFormat="1" applyFont="1" applyFill="1" applyBorder="1" applyAlignment="1">
      <alignment horizontal="center" vertical="center" wrapText="1"/>
    </xf>
    <xf numFmtId="0" fontId="18" fillId="0" borderId="0" xfId="8" applyBorder="1"/>
    <xf numFmtId="165" fontId="0" fillId="0" borderId="0" xfId="0" applyNumberFormat="1"/>
    <xf numFmtId="0" fontId="0" fillId="0" borderId="4" xfId="0" applyBorder="1" applyAlignment="1">
      <alignment horizontal="left" vertical="top"/>
    </xf>
    <xf numFmtId="0" fontId="0" fillId="0" borderId="6" xfId="0" applyBorder="1" applyAlignment="1">
      <alignment horizontal="left" vertical="top"/>
    </xf>
    <xf numFmtId="0" fontId="37" fillId="0" borderId="0" xfId="0" applyFont="1"/>
    <xf numFmtId="0" fontId="35" fillId="0" borderId="0" xfId="0" applyFont="1" applyAlignment="1">
      <alignment horizontal="left"/>
    </xf>
    <xf numFmtId="0" fontId="46" fillId="0" borderId="0" xfId="0" applyFont="1"/>
    <xf numFmtId="0" fontId="47" fillId="0" borderId="0" xfId="0" applyFont="1" applyAlignment="1">
      <alignment vertical="center"/>
    </xf>
    <xf numFmtId="0" fontId="48" fillId="0" borderId="0" xfId="0" applyFont="1" applyAlignment="1">
      <alignment vertical="center"/>
    </xf>
    <xf numFmtId="0" fontId="12" fillId="0" borderId="2" xfId="0" applyFont="1" applyBorder="1" applyAlignment="1">
      <alignment horizontal="left" vertical="center"/>
    </xf>
    <xf numFmtId="0" fontId="0" fillId="0" borderId="35" xfId="0" applyBorder="1" applyAlignment="1">
      <alignment horizontal="left" vertical="top"/>
    </xf>
    <xf numFmtId="0" fontId="12" fillId="0" borderId="1" xfId="0" applyFont="1" applyBorder="1" applyAlignment="1">
      <alignment horizontal="left" vertical="top"/>
    </xf>
    <xf numFmtId="0" fontId="0" fillId="0" borderId="18" xfId="0" applyBorder="1" applyAlignment="1">
      <alignment horizontal="left" vertical="top"/>
    </xf>
    <xf numFmtId="0" fontId="0" fillId="0" borderId="10" xfId="0" applyBorder="1" applyAlignment="1">
      <alignment horizontal="left" vertical="top"/>
    </xf>
    <xf numFmtId="0" fontId="0" fillId="0" borderId="35" xfId="0" applyBorder="1" applyAlignment="1">
      <alignment vertical="top" wrapText="1"/>
    </xf>
    <xf numFmtId="0" fontId="0" fillId="0" borderId="3" xfId="0" applyBorder="1" applyAlignment="1">
      <alignment horizontal="left" vertical="top"/>
    </xf>
    <xf numFmtId="164" fontId="12" fillId="0" borderId="4" xfId="2" applyNumberFormat="1" applyFont="1" applyFill="1" applyBorder="1" applyAlignment="1">
      <alignment horizontal="right" vertical="top"/>
    </xf>
    <xf numFmtId="0" fontId="0" fillId="0" borderId="8" xfId="0" applyBorder="1" applyAlignment="1">
      <alignment horizontal="left" vertical="top"/>
    </xf>
    <xf numFmtId="0" fontId="0" fillId="0" borderId="11" xfId="0" applyBorder="1" applyAlignment="1">
      <alignment horizontal="left" vertical="top"/>
    </xf>
    <xf numFmtId="0" fontId="11" fillId="0" borderId="8" xfId="0" applyFont="1" applyBorder="1" applyAlignment="1">
      <alignment horizontal="left" vertical="top"/>
    </xf>
    <xf numFmtId="0" fontId="8" fillId="0" borderId="0" xfId="14" applyAlignment="1">
      <alignment horizontal="left"/>
    </xf>
    <xf numFmtId="0" fontId="33" fillId="10" borderId="2" xfId="0" applyFont="1" applyFill="1" applyBorder="1" applyAlignment="1">
      <alignment horizontal="left" vertical="center" wrapText="1"/>
    </xf>
    <xf numFmtId="0" fontId="33" fillId="10" borderId="35" xfId="0" applyFont="1" applyFill="1" applyBorder="1" applyAlignment="1">
      <alignment horizontal="left" vertical="center" wrapText="1"/>
    </xf>
    <xf numFmtId="0" fontId="33" fillId="0" borderId="2" xfId="0" applyFont="1" applyBorder="1" applyAlignment="1">
      <alignment horizontal="left" vertical="center" wrapText="1"/>
    </xf>
    <xf numFmtId="0" fontId="33" fillId="0" borderId="35" xfId="0" applyFont="1" applyBorder="1" applyAlignment="1">
      <alignment horizontal="left" vertical="center" wrapText="1"/>
    </xf>
    <xf numFmtId="0" fontId="33" fillId="10" borderId="3" xfId="0" applyFont="1" applyFill="1" applyBorder="1" applyAlignment="1">
      <alignment horizontal="left" vertical="center" wrapText="1"/>
    </xf>
    <xf numFmtId="0" fontId="8" fillId="0" borderId="0" xfId="14" applyAlignment="1">
      <alignment horizontal="left"/>
    </xf>
    <xf numFmtId="0" fontId="0" fillId="0" borderId="64" xfId="0" applyBorder="1" applyAlignment="1">
      <alignment horizontal="center" vertical="center" wrapText="1"/>
    </xf>
    <xf numFmtId="0" fontId="0" fillId="0" borderId="67" xfId="0" applyBorder="1" applyAlignment="1">
      <alignment horizontal="center" vertical="center" wrapText="1"/>
    </xf>
    <xf numFmtId="0" fontId="0" fillId="0" borderId="64" xfId="0" applyBorder="1" applyAlignment="1">
      <alignment horizontal="left" vertical="center" wrapText="1"/>
    </xf>
    <xf numFmtId="0" fontId="0" fillId="0" borderId="65" xfId="0" applyBorder="1" applyAlignment="1">
      <alignment horizontal="left" vertical="center" wrapText="1"/>
    </xf>
    <xf numFmtId="0" fontId="9" fillId="0" borderId="0" xfId="14" applyFont="1" applyAlignment="1">
      <alignment horizontal="left"/>
    </xf>
    <xf numFmtId="0" fontId="0" fillId="0" borderId="67" xfId="0" applyBorder="1" applyAlignment="1">
      <alignment vertical="center"/>
    </xf>
    <xf numFmtId="0" fontId="45" fillId="7" borderId="0" xfId="0" applyFont="1" applyFill="1" applyBorder="1" applyAlignment="1">
      <alignment horizontal="center" vertical="center"/>
    </xf>
    <xf numFmtId="0" fontId="0" fillId="0" borderId="65" xfId="0" applyBorder="1" applyAlignment="1">
      <alignment vertical="center"/>
    </xf>
    <xf numFmtId="0" fontId="0" fillId="0" borderId="0" xfId="0" applyBorder="1" applyAlignment="1">
      <alignment vertical="center"/>
    </xf>
    <xf numFmtId="0" fontId="0" fillId="0" borderId="0" xfId="0" applyAlignment="1"/>
    <xf numFmtId="0" fontId="9" fillId="0" borderId="0" xfId="14" applyFont="1" applyAlignment="1">
      <alignment vertical="center"/>
    </xf>
    <xf numFmtId="0" fontId="0" fillId="0" borderId="64" xfId="0" applyBorder="1" applyAlignment="1">
      <alignment horizontal="center" vertical="center"/>
    </xf>
    <xf numFmtId="0" fontId="0" fillId="0" borderId="64" xfId="0" applyBorder="1" applyAlignment="1">
      <alignment horizontal="left" vertical="center"/>
    </xf>
    <xf numFmtId="0" fontId="0" fillId="0" borderId="65" xfId="0" applyBorder="1" applyAlignment="1">
      <alignment horizontal="left" vertical="center"/>
    </xf>
    <xf numFmtId="0" fontId="0" fillId="0" borderId="65" xfId="0" applyBorder="1" applyAlignment="1">
      <alignment horizontal="center" vertical="center"/>
    </xf>
    <xf numFmtId="0" fontId="0" fillId="0" borderId="0" xfId="0" applyBorder="1" applyAlignment="1">
      <alignment horizontal="left" vertical="center"/>
    </xf>
    <xf numFmtId="0" fontId="0" fillId="0" borderId="0" xfId="0" applyBorder="1" applyAlignment="1">
      <alignment horizontal="center" vertical="center"/>
    </xf>
    <xf numFmtId="0" fontId="0" fillId="0" borderId="67" xfId="0" applyBorder="1" applyAlignment="1">
      <alignment horizontal="center" vertical="center"/>
    </xf>
    <xf numFmtId="2" fontId="8" fillId="0" borderId="0" xfId="14" applyNumberFormat="1" applyAlignment="1">
      <alignment horizontal="center"/>
    </xf>
    <xf numFmtId="0" fontId="64" fillId="0" borderId="0" xfId="0" applyFont="1"/>
    <xf numFmtId="0" fontId="64" fillId="0" borderId="7" xfId="0" applyFont="1" applyBorder="1" applyAlignment="1">
      <alignment vertical="center" wrapText="1"/>
    </xf>
    <xf numFmtId="0" fontId="68" fillId="0" borderId="7" xfId="0" applyFont="1" applyBorder="1" applyAlignment="1">
      <alignment vertical="center" wrapText="1"/>
    </xf>
    <xf numFmtId="0" fontId="0" fillId="0" borderId="0" xfId="0" applyBorder="1" applyAlignment="1">
      <alignment vertical="center" wrapText="1"/>
    </xf>
    <xf numFmtId="0" fontId="8" fillId="0" borderId="7" xfId="14" applyBorder="1" applyAlignment="1">
      <alignment horizontal="center"/>
    </xf>
    <xf numFmtId="0" fontId="0" fillId="0" borderId="7" xfId="0" applyBorder="1" applyAlignment="1">
      <alignment horizontal="left" vertical="center"/>
    </xf>
    <xf numFmtId="0" fontId="0" fillId="0" borderId="7" xfId="0" applyBorder="1" applyAlignment="1">
      <alignment horizontal="center" vertical="center" wrapText="1"/>
    </xf>
    <xf numFmtId="0" fontId="8" fillId="11" borderId="0" xfId="14" applyFill="1" applyAlignment="1">
      <alignment horizontal="center"/>
    </xf>
    <xf numFmtId="182" fontId="0" fillId="8" borderId="7" xfId="1" applyNumberFormat="1" applyFont="1" applyFill="1" applyBorder="1" applyAlignment="1">
      <alignment horizontal="center" wrapText="1"/>
    </xf>
    <xf numFmtId="165" fontId="0" fillId="8" borderId="7" xfId="1" applyNumberFormat="1" applyFont="1" applyFill="1" applyBorder="1" applyAlignment="1">
      <alignment horizontal="center" vertical="top" wrapText="1"/>
    </xf>
    <xf numFmtId="0" fontId="8" fillId="0" borderId="1" xfId="14" applyBorder="1" applyAlignment="1">
      <alignment horizontal="left"/>
    </xf>
    <xf numFmtId="0" fontId="8" fillId="0" borderId="10" xfId="14" applyBorder="1" applyAlignment="1">
      <alignment horizontal="center"/>
    </xf>
    <xf numFmtId="0" fontId="8" fillId="0" borderId="35" xfId="14" applyBorder="1" applyAlignment="1">
      <alignment horizontal="left"/>
    </xf>
    <xf numFmtId="170" fontId="8" fillId="0" borderId="2" xfId="14" applyNumberFormat="1" applyBorder="1" applyAlignment="1">
      <alignment horizontal="center"/>
    </xf>
    <xf numFmtId="170" fontId="8" fillId="0" borderId="35" xfId="14" applyNumberFormat="1" applyBorder="1" applyAlignment="1">
      <alignment horizontal="center"/>
    </xf>
    <xf numFmtId="183" fontId="8" fillId="0" borderId="3" xfId="14" applyNumberFormat="1" applyBorder="1" applyAlignment="1">
      <alignment horizontal="center"/>
    </xf>
    <xf numFmtId="183" fontId="8" fillId="0" borderId="11" xfId="14" applyNumberFormat="1" applyBorder="1" applyAlignment="1">
      <alignment horizontal="center"/>
    </xf>
    <xf numFmtId="0" fontId="8" fillId="11" borderId="2" xfId="14" applyFill="1" applyBorder="1" applyAlignment="1">
      <alignment horizontal="center"/>
    </xf>
    <xf numFmtId="0" fontId="8" fillId="0" borderId="35" xfId="14" applyBorder="1" applyAlignment="1">
      <alignment horizontal="center"/>
    </xf>
    <xf numFmtId="0" fontId="70" fillId="12" borderId="69" xfId="0" applyFont="1" applyFill="1" applyBorder="1" applyAlignment="1">
      <alignment horizontal="center"/>
    </xf>
    <xf numFmtId="1" fontId="70" fillId="0" borderId="72" xfId="0" applyNumberFormat="1" applyFont="1" applyBorder="1" applyAlignment="1">
      <alignment horizontal="center"/>
    </xf>
    <xf numFmtId="1" fontId="70" fillId="0" borderId="69" xfId="0" applyNumberFormat="1" applyFont="1" applyBorder="1" applyAlignment="1">
      <alignment horizontal="center"/>
    </xf>
    <xf numFmtId="178" fontId="70" fillId="0" borderId="72" xfId="0" applyNumberFormat="1" applyFont="1" applyBorder="1" applyAlignment="1">
      <alignment horizontal="center"/>
    </xf>
    <xf numFmtId="178" fontId="70" fillId="0" borderId="69" xfId="0" applyNumberFormat="1" applyFont="1" applyBorder="1" applyAlignment="1">
      <alignment horizontal="center"/>
    </xf>
    <xf numFmtId="178" fontId="8" fillId="0" borderId="0" xfId="14" applyNumberFormat="1" applyAlignment="1">
      <alignment horizontal="center"/>
    </xf>
    <xf numFmtId="0" fontId="69" fillId="12" borderId="58" xfId="0" applyFont="1" applyFill="1" applyBorder="1"/>
    <xf numFmtId="0" fontId="0" fillId="12" borderId="75" xfId="0" applyFill="1" applyBorder="1" applyAlignment="1">
      <alignment horizontal="center"/>
    </xf>
    <xf numFmtId="0" fontId="0" fillId="13" borderId="51" xfId="0" applyFill="1" applyBorder="1" applyAlignment="1">
      <alignment horizontal="center"/>
    </xf>
    <xf numFmtId="184" fontId="70" fillId="12" borderId="77" xfId="0" applyNumberFormat="1" applyFont="1" applyFill="1" applyBorder="1" applyAlignment="1">
      <alignment horizontal="left"/>
    </xf>
    <xf numFmtId="178" fontId="70" fillId="0" borderId="78" xfId="0" applyNumberFormat="1" applyFont="1" applyBorder="1" applyAlignment="1">
      <alignment horizontal="center"/>
    </xf>
    <xf numFmtId="178" fontId="70" fillId="0" borderId="79" xfId="0" applyNumberFormat="1" applyFont="1" applyBorder="1" applyAlignment="1">
      <alignment horizontal="center"/>
    </xf>
    <xf numFmtId="178" fontId="70" fillId="0" borderId="80" xfId="0" applyNumberFormat="1" applyFont="1" applyBorder="1" applyAlignment="1">
      <alignment horizontal="center"/>
    </xf>
    <xf numFmtId="17" fontId="69" fillId="12" borderId="54" xfId="0" applyNumberFormat="1" applyFont="1" applyFill="1" applyBorder="1"/>
    <xf numFmtId="0" fontId="71" fillId="12" borderId="81" xfId="0" applyFont="1" applyFill="1" applyBorder="1" applyAlignment="1">
      <alignment horizontal="center"/>
    </xf>
    <xf numFmtId="178" fontId="71" fillId="14" borderId="53" xfId="0" applyNumberFormat="1" applyFont="1" applyFill="1" applyBorder="1" applyAlignment="1">
      <alignment horizontal="center"/>
    </xf>
    <xf numFmtId="1" fontId="8" fillId="2" borderId="0" xfId="14" applyNumberFormat="1" applyFill="1" applyAlignment="1">
      <alignment horizontal="center"/>
    </xf>
    <xf numFmtId="0" fontId="13" fillId="0" borderId="0" xfId="14" applyFont="1" applyAlignment="1">
      <alignment horizontal="left" vertical="top"/>
    </xf>
    <xf numFmtId="0" fontId="34" fillId="0" borderId="0" xfId="14" applyFont="1" applyAlignment="1">
      <alignment horizontal="left" vertical="top"/>
    </xf>
    <xf numFmtId="0" fontId="72" fillId="0" borderId="0" xfId="8" applyFont="1" applyAlignment="1">
      <alignment horizontal="left" vertical="top"/>
    </xf>
    <xf numFmtId="0" fontId="0" fillId="0" borderId="18" xfId="0" applyBorder="1" applyAlignment="1">
      <alignment horizontal="right" vertical="center"/>
    </xf>
    <xf numFmtId="0" fontId="0" fillId="0" borderId="8" xfId="0" applyBorder="1" applyAlignment="1">
      <alignment horizontal="right" vertical="center"/>
    </xf>
    <xf numFmtId="0" fontId="0" fillId="0" borderId="0" xfId="0" applyAlignment="1">
      <alignment horizontal="center" vertical="center"/>
    </xf>
    <xf numFmtId="0" fontId="0" fillId="2" borderId="18" xfId="0" applyFill="1" applyBorder="1" applyAlignment="1">
      <alignment horizontal="right" vertical="center"/>
    </xf>
    <xf numFmtId="185" fontId="0" fillId="8" borderId="7" xfId="1" applyNumberFormat="1" applyFont="1" applyFill="1" applyBorder="1" applyAlignment="1">
      <alignment horizontal="left" vertical="top" wrapText="1"/>
    </xf>
    <xf numFmtId="0" fontId="16" fillId="0" borderId="5" xfId="0" applyFont="1" applyBorder="1"/>
    <xf numFmtId="9" fontId="12" fillId="0" borderId="9" xfId="3" applyFont="1" applyBorder="1" applyAlignment="1">
      <alignment horizontal="left" vertical="top"/>
    </xf>
    <xf numFmtId="0" fontId="0" fillId="0" borderId="91" xfId="0" applyBorder="1" applyAlignment="1">
      <alignment horizontal="left" vertical="top"/>
    </xf>
    <xf numFmtId="165" fontId="12" fillId="0" borderId="90" xfId="1" applyNumberFormat="1" applyFont="1" applyBorder="1" applyAlignment="1">
      <alignment horizontal="left" vertical="top"/>
    </xf>
    <xf numFmtId="0" fontId="11" fillId="0" borderId="90" xfId="0" applyFont="1" applyBorder="1" applyAlignment="1">
      <alignment horizontal="left" vertical="top"/>
    </xf>
    <xf numFmtId="0" fontId="0" fillId="0" borderId="90" xfId="0" applyBorder="1" applyAlignment="1">
      <alignment horizontal="left" vertical="top"/>
    </xf>
    <xf numFmtId="0" fontId="0" fillId="0" borderId="87" xfId="0" applyBorder="1" applyAlignment="1">
      <alignment horizontal="left" vertical="top"/>
    </xf>
    <xf numFmtId="164" fontId="12" fillId="0" borderId="92" xfId="2" applyNumberFormat="1" applyFont="1" applyBorder="1" applyAlignment="1">
      <alignment horizontal="left" vertical="top"/>
    </xf>
    <xf numFmtId="164" fontId="12" fillId="0" borderId="87" xfId="2" applyNumberFormat="1" applyFont="1" applyFill="1" applyBorder="1" applyAlignment="1">
      <alignment horizontal="left" vertical="top" wrapText="1"/>
    </xf>
    <xf numFmtId="0" fontId="19" fillId="0" borderId="89" xfId="0" applyFont="1" applyBorder="1" applyAlignment="1">
      <alignment horizontal="left" vertical="top"/>
    </xf>
    <xf numFmtId="0" fontId="0" fillId="0" borderId="91" xfId="0" applyBorder="1"/>
    <xf numFmtId="9" fontId="12" fillId="0" borderId="90" xfId="3" applyFont="1" applyBorder="1" applyAlignment="1">
      <alignment horizontal="left" vertical="top"/>
    </xf>
    <xf numFmtId="9" fontId="0" fillId="0" borderId="90" xfId="3" applyFont="1" applyBorder="1" applyAlignment="1">
      <alignment horizontal="left" vertical="top"/>
    </xf>
    <xf numFmtId="0" fontId="0" fillId="0" borderId="86" xfId="0" applyBorder="1" applyAlignment="1">
      <alignment horizontal="left" vertical="top" wrapText="1"/>
    </xf>
    <xf numFmtId="164" fontId="12" fillId="0" borderId="11" xfId="2" applyNumberFormat="1" applyFont="1" applyBorder="1" applyAlignment="1">
      <alignment horizontal="left"/>
    </xf>
    <xf numFmtId="164" fontId="12" fillId="0" borderId="3" xfId="2" applyNumberFormat="1" applyFont="1" applyFill="1" applyBorder="1" applyAlignment="1">
      <alignment horizontal="left" wrapText="1"/>
    </xf>
    <xf numFmtId="164" fontId="12" fillId="0" borderId="4" xfId="2" applyNumberFormat="1" applyFont="1" applyFill="1" applyBorder="1" applyAlignment="1">
      <alignment horizontal="left" wrapText="1"/>
    </xf>
    <xf numFmtId="178" fontId="16" fillId="2" borderId="7" xfId="0" applyNumberFormat="1" applyFont="1" applyFill="1" applyBorder="1" applyAlignment="1">
      <alignment wrapText="1"/>
    </xf>
    <xf numFmtId="165" fontId="75" fillId="0" borderId="2" xfId="1" applyNumberFormat="1" applyFont="1" applyBorder="1" applyAlignment="1">
      <alignment horizontal="left" vertical="top"/>
    </xf>
    <xf numFmtId="165" fontId="75" fillId="0" borderId="3" xfId="1" applyNumberFormat="1" applyFont="1" applyBorder="1" applyAlignment="1">
      <alignment horizontal="left" vertical="top"/>
    </xf>
    <xf numFmtId="178" fontId="16" fillId="2" borderId="9" xfId="0" applyNumberFormat="1" applyFont="1" applyFill="1" applyBorder="1" applyAlignment="1">
      <alignment wrapText="1"/>
    </xf>
    <xf numFmtId="165" fontId="75" fillId="0" borderId="0" xfId="1" applyNumberFormat="1" applyFont="1" applyBorder="1" applyAlignment="1">
      <alignment horizontal="left" vertical="top"/>
    </xf>
    <xf numFmtId="0" fontId="16" fillId="2" borderId="59" xfId="0" applyFont="1" applyFill="1" applyBorder="1"/>
    <xf numFmtId="0" fontId="16" fillId="0" borderId="60" xfId="0" applyFont="1" applyBorder="1" applyAlignment="1">
      <alignment horizontal="left"/>
    </xf>
    <xf numFmtId="0" fontId="55" fillId="0" borderId="60" xfId="0" applyFont="1" applyBorder="1" applyAlignment="1">
      <alignment horizontal="right"/>
    </xf>
    <xf numFmtId="0" fontId="55" fillId="0" borderId="60" xfId="0" applyFont="1" applyBorder="1" applyAlignment="1">
      <alignment horizontal="left"/>
    </xf>
    <xf numFmtId="0" fontId="16" fillId="2" borderId="93" xfId="0" applyFont="1" applyFill="1" applyBorder="1"/>
    <xf numFmtId="0" fontId="16" fillId="2" borderId="55" xfId="0" applyFont="1" applyFill="1" applyBorder="1"/>
    <xf numFmtId="0" fontId="16" fillId="0" borderId="95" xfId="0" applyFont="1" applyBorder="1"/>
    <xf numFmtId="0" fontId="55" fillId="0" borderId="95" xfId="0" applyFont="1" applyBorder="1" applyAlignment="1">
      <alignment horizontal="right"/>
    </xf>
    <xf numFmtId="0" fontId="55" fillId="0" borderId="95" xfId="0" applyFont="1" applyBorder="1" applyAlignment="1">
      <alignment horizontal="left"/>
    </xf>
    <xf numFmtId="0" fontId="55" fillId="0" borderId="5" xfId="0" applyFont="1" applyBorder="1" applyAlignment="1">
      <alignment horizontal="right" vertical="center"/>
    </xf>
    <xf numFmtId="0" fontId="18" fillId="0" borderId="0" xfId="8" applyAlignment="1">
      <alignment horizontal="left" vertical="top" wrapText="1"/>
    </xf>
    <xf numFmtId="0" fontId="13" fillId="0" borderId="7" xfId="0" applyFont="1" applyBorder="1" applyAlignment="1">
      <alignment horizontal="left" vertical="top" wrapText="1"/>
    </xf>
    <xf numFmtId="0" fontId="0" fillId="0" borderId="0" xfId="0" applyAlignment="1">
      <alignment horizontal="left" vertical="top" wrapText="1"/>
    </xf>
    <xf numFmtId="0" fontId="0" fillId="0" borderId="0" xfId="0" applyAlignment="1">
      <alignment horizontal="right" vertical="center"/>
    </xf>
    <xf numFmtId="0" fontId="0" fillId="0" borderId="7" xfId="0" applyBorder="1" applyAlignment="1">
      <alignment horizontal="left" vertical="top" wrapText="1"/>
    </xf>
    <xf numFmtId="0" fontId="0" fillId="0" borderId="7" xfId="0" applyBorder="1" applyAlignment="1">
      <alignment horizontal="left" vertical="top"/>
    </xf>
    <xf numFmtId="0" fontId="0" fillId="0" borderId="5" xfId="0" applyBorder="1" applyAlignment="1">
      <alignment horizontal="left" vertical="top"/>
    </xf>
    <xf numFmtId="175" fontId="54" fillId="0" borderId="5" xfId="6" applyNumberFormat="1" applyFont="1" applyBorder="1" applyAlignment="1">
      <alignment horizontal="center" vertical="center"/>
    </xf>
    <xf numFmtId="2" fontId="16" fillId="0" borderId="96" xfId="6" applyNumberFormat="1" applyBorder="1" applyAlignment="1">
      <alignment horizontal="center"/>
    </xf>
    <xf numFmtId="2" fontId="16" fillId="0" borderId="97" xfId="6" applyNumberFormat="1" applyBorder="1" applyAlignment="1">
      <alignment horizontal="center"/>
    </xf>
    <xf numFmtId="173" fontId="55" fillId="2" borderId="98" xfId="6" applyNumberFormat="1" applyFont="1" applyFill="1" applyBorder="1" applyAlignment="1">
      <alignment horizontal="center"/>
    </xf>
    <xf numFmtId="2" fontId="16" fillId="0" borderId="99" xfId="6" applyNumberFormat="1" applyBorder="1" applyAlignment="1">
      <alignment horizontal="center"/>
    </xf>
    <xf numFmtId="175" fontId="54" fillId="0" borderId="8" xfId="6" applyNumberFormat="1" applyFont="1" applyBorder="1" applyAlignment="1">
      <alignment horizontal="center" vertical="center"/>
    </xf>
    <xf numFmtId="2" fontId="16" fillId="0" borderId="100" xfId="6" applyNumberFormat="1" applyBorder="1"/>
    <xf numFmtId="2" fontId="16" fillId="0" borderId="9" xfId="6" applyNumberFormat="1" applyBorder="1"/>
    <xf numFmtId="2" fontId="16" fillId="9" borderId="12" xfId="6" applyNumberFormat="1" applyFill="1" applyBorder="1" applyAlignment="1">
      <alignment horizontal="center"/>
    </xf>
    <xf numFmtId="175" fontId="54" fillId="2" borderId="56" xfId="6" applyNumberFormat="1" applyFont="1" applyFill="1" applyBorder="1" applyAlignment="1">
      <alignment horizontal="center" vertical="center"/>
    </xf>
    <xf numFmtId="174" fontId="52" fillId="0" borderId="101" xfId="6" applyNumberFormat="1" applyFont="1" applyBorder="1"/>
    <xf numFmtId="174" fontId="52" fillId="0" borderId="102" xfId="6" applyNumberFormat="1" applyFont="1" applyBorder="1"/>
    <xf numFmtId="174" fontId="52" fillId="0" borderId="103" xfId="6" applyNumberFormat="1" applyFont="1" applyBorder="1"/>
    <xf numFmtId="0" fontId="47" fillId="0" borderId="0" xfId="0" applyFont="1" applyAlignment="1">
      <alignment horizontal="center" vertical="center"/>
    </xf>
    <xf numFmtId="0" fontId="9" fillId="0" borderId="0" xfId="0" applyFont="1" applyAlignment="1">
      <alignment horizontal="left" vertical="top" wrapText="1"/>
    </xf>
    <xf numFmtId="0" fontId="0" fillId="0" borderId="0" xfId="0" applyAlignment="1">
      <alignment horizontal="left" vertical="top" wrapText="1"/>
    </xf>
    <xf numFmtId="0" fontId="0" fillId="0" borderId="8" xfId="0" applyBorder="1" applyAlignment="1">
      <alignment horizontal="left" vertical="top" wrapText="1"/>
    </xf>
    <xf numFmtId="0" fontId="0" fillId="0" borderId="2" xfId="0" applyBorder="1" applyAlignment="1">
      <alignment horizontal="left" vertical="top" wrapText="1"/>
    </xf>
    <xf numFmtId="0" fontId="0" fillId="0" borderId="7" xfId="0" applyBorder="1" applyAlignment="1">
      <alignment horizontal="left" vertical="top" wrapText="1"/>
    </xf>
    <xf numFmtId="0" fontId="0" fillId="0" borderId="7" xfId="0" applyBorder="1" applyAlignment="1">
      <alignment horizontal="left" vertical="top"/>
    </xf>
    <xf numFmtId="0" fontId="0" fillId="0" borderId="3" xfId="0" applyBorder="1" applyAlignment="1">
      <alignment horizontal="left" vertical="top" wrapText="1"/>
    </xf>
    <xf numFmtId="0" fontId="0" fillId="0" borderId="5" xfId="0" applyBorder="1" applyAlignment="1">
      <alignment horizontal="left" vertical="top" wrapText="1"/>
    </xf>
    <xf numFmtId="0" fontId="0" fillId="0" borderId="5" xfId="0" applyBorder="1" applyAlignment="1">
      <alignment horizontal="left" vertical="top"/>
    </xf>
    <xf numFmtId="0" fontId="15" fillId="0" borderId="4" xfId="0" applyFont="1" applyBorder="1" applyAlignment="1">
      <alignment horizontal="left" vertical="top" wrapText="1"/>
    </xf>
    <xf numFmtId="0" fontId="15" fillId="0" borderId="4" xfId="0" applyFont="1" applyBorder="1" applyAlignment="1">
      <alignment horizontal="left" vertical="top"/>
    </xf>
    <xf numFmtId="0" fontId="0" fillId="6" borderId="35" xfId="0" applyFill="1" applyBorder="1" applyAlignment="1">
      <alignment horizontal="center" vertical="center" textRotation="90"/>
    </xf>
    <xf numFmtId="0" fontId="36" fillId="0" borderId="0" xfId="0" applyFont="1" applyAlignment="1">
      <alignment horizontal="right" wrapText="1"/>
    </xf>
    <xf numFmtId="0" fontId="13" fillId="0" borderId="7" xfId="0" applyFont="1" applyBorder="1" applyAlignment="1">
      <alignment horizontal="left" vertical="top" wrapText="1"/>
    </xf>
    <xf numFmtId="0" fontId="0" fillId="0" borderId="0" xfId="0" applyAlignment="1">
      <alignment horizontal="right" vertical="center"/>
    </xf>
    <xf numFmtId="0" fontId="55" fillId="0" borderId="5" xfId="0" applyFont="1" applyBorder="1" applyAlignment="1">
      <alignment horizontal="left" wrapText="1"/>
    </xf>
    <xf numFmtId="0" fontId="55" fillId="0" borderId="85" xfId="0" applyFont="1" applyBorder="1" applyAlignment="1">
      <alignment horizontal="left" wrapText="1"/>
    </xf>
    <xf numFmtId="0" fontId="12" fillId="0" borderId="9" xfId="0" applyFont="1" applyBorder="1" applyAlignment="1">
      <alignment horizontal="left" wrapText="1"/>
    </xf>
    <xf numFmtId="0" fontId="12" fillId="0" borderId="7" xfId="0" applyFont="1" applyBorder="1" applyAlignment="1">
      <alignment horizontal="left" wrapText="1"/>
    </xf>
    <xf numFmtId="0" fontId="12" fillId="0" borderId="0" xfId="0" applyFont="1" applyAlignment="1">
      <alignment horizontal="left" vertical="top" wrapText="1"/>
    </xf>
    <xf numFmtId="0" fontId="0" fillId="0" borderId="67" xfId="0" applyBorder="1" applyAlignment="1">
      <alignment horizontal="center" vertical="center"/>
    </xf>
    <xf numFmtId="0" fontId="0" fillId="0" borderId="68" xfId="0" applyBorder="1" applyAlignment="1">
      <alignment horizontal="center" vertical="center"/>
    </xf>
    <xf numFmtId="0" fontId="0" fillId="0" borderId="67" xfId="0" applyBorder="1" applyAlignment="1">
      <alignment horizontal="center" vertical="center" wrapText="1"/>
    </xf>
    <xf numFmtId="0" fontId="0" fillId="0" borderId="68" xfId="0" applyBorder="1" applyAlignment="1">
      <alignment horizontal="center" vertical="center" wrapText="1"/>
    </xf>
    <xf numFmtId="0" fontId="0" fillId="0" borderId="65" xfId="0" applyBorder="1" applyAlignment="1">
      <alignment horizontal="center" vertical="center" wrapText="1"/>
    </xf>
    <xf numFmtId="0" fontId="0" fillId="0" borderId="66" xfId="0" applyBorder="1" applyAlignment="1">
      <alignment horizontal="center" vertical="center" wrapText="1"/>
    </xf>
    <xf numFmtId="0" fontId="9" fillId="0" borderId="0" xfId="14" applyFont="1" applyAlignment="1">
      <alignment horizontal="left" vertical="center" wrapText="1"/>
    </xf>
    <xf numFmtId="0" fontId="8" fillId="0" borderId="0" xfId="14" applyAlignment="1">
      <alignment horizontal="left"/>
    </xf>
    <xf numFmtId="0" fontId="8" fillId="0" borderId="0" xfId="14" applyAlignment="1">
      <alignment horizontal="left" vertical="top" wrapText="1"/>
    </xf>
    <xf numFmtId="0" fontId="8" fillId="0" borderId="31" xfId="14" applyBorder="1" applyAlignment="1">
      <alignment horizontal="left" wrapText="1"/>
    </xf>
    <xf numFmtId="0" fontId="8" fillId="0" borderId="32" xfId="14" applyBorder="1" applyAlignment="1">
      <alignment horizontal="left" wrapText="1"/>
    </xf>
    <xf numFmtId="178" fontId="70" fillId="0" borderId="72" xfId="0" applyNumberFormat="1" applyFont="1" applyBorder="1" applyAlignment="1">
      <alignment horizontal="center"/>
    </xf>
    <xf numFmtId="178" fontId="70" fillId="0" borderId="69" xfId="0" applyNumberFormat="1" applyFont="1" applyBorder="1" applyAlignment="1">
      <alignment horizontal="center"/>
    </xf>
    <xf numFmtId="1" fontId="70" fillId="0" borderId="72" xfId="0" applyNumberFormat="1" applyFont="1" applyBorder="1" applyAlignment="1">
      <alignment horizontal="center"/>
    </xf>
    <xf numFmtId="1" fontId="70" fillId="0" borderId="69" xfId="0" applyNumberFormat="1" applyFont="1" applyBorder="1" applyAlignment="1">
      <alignment horizontal="center"/>
    </xf>
    <xf numFmtId="0" fontId="9" fillId="0" borderId="4" xfId="14" applyFont="1" applyBorder="1" applyAlignment="1">
      <alignment horizontal="left" wrapText="1"/>
    </xf>
    <xf numFmtId="0" fontId="9" fillId="0" borderId="5" xfId="14" applyFont="1" applyBorder="1" applyAlignment="1">
      <alignment horizontal="left" wrapText="1"/>
    </xf>
    <xf numFmtId="0" fontId="9" fillId="0" borderId="6" xfId="14" applyFont="1" applyBorder="1" applyAlignment="1">
      <alignment horizontal="left" wrapText="1"/>
    </xf>
    <xf numFmtId="0" fontId="9" fillId="6" borderId="9" xfId="14" applyFont="1" applyFill="1" applyBorder="1" applyAlignment="1">
      <alignment horizontal="center" vertical="top" wrapText="1"/>
    </xf>
    <xf numFmtId="0" fontId="9" fillId="5" borderId="4" xfId="14" applyFont="1" applyFill="1" applyBorder="1" applyAlignment="1">
      <alignment horizontal="center" vertical="top" wrapText="1"/>
    </xf>
    <xf numFmtId="0" fontId="9" fillId="5" borderId="5" xfId="14" applyFont="1" applyFill="1" applyBorder="1" applyAlignment="1">
      <alignment horizontal="center" vertical="top" wrapText="1"/>
    </xf>
    <xf numFmtId="0" fontId="9" fillId="5" borderId="6" xfId="14" applyFont="1" applyFill="1" applyBorder="1" applyAlignment="1">
      <alignment horizontal="center" vertical="top" wrapText="1"/>
    </xf>
    <xf numFmtId="0" fontId="9" fillId="0" borderId="4" xfId="14" applyFont="1" applyBorder="1" applyAlignment="1">
      <alignment horizontal="center" vertical="top" wrapText="1"/>
    </xf>
    <xf numFmtId="0" fontId="9" fillId="0" borderId="5" xfId="14" applyFont="1" applyBorder="1" applyAlignment="1">
      <alignment horizontal="center" vertical="top" wrapText="1"/>
    </xf>
    <xf numFmtId="0" fontId="9" fillId="0" borderId="6" xfId="14" applyFont="1" applyBorder="1" applyAlignment="1">
      <alignment horizontal="center" vertical="top" wrapText="1"/>
    </xf>
    <xf numFmtId="0" fontId="8" fillId="0" borderId="31" xfId="14" applyFont="1" applyBorder="1" applyAlignment="1">
      <alignment horizontal="center" wrapText="1"/>
    </xf>
    <xf numFmtId="0" fontId="8" fillId="0" borderId="32" xfId="14" applyFont="1" applyBorder="1" applyAlignment="1">
      <alignment horizontal="center" wrapText="1"/>
    </xf>
    <xf numFmtId="0" fontId="0" fillId="13" borderId="76" xfId="0" applyFill="1" applyBorder="1" applyAlignment="1">
      <alignment horizontal="center"/>
    </xf>
    <xf numFmtId="0" fontId="0" fillId="13" borderId="60" xfId="0" applyFill="1" applyBorder="1" applyAlignment="1">
      <alignment horizontal="center"/>
    </xf>
    <xf numFmtId="1" fontId="70" fillId="0" borderId="70" xfId="0" applyNumberFormat="1" applyFont="1" applyBorder="1" applyAlignment="1">
      <alignment horizontal="center"/>
    </xf>
    <xf numFmtId="1" fontId="70" fillId="0" borderId="71" xfId="0" applyNumberFormat="1" applyFont="1" applyBorder="1" applyAlignment="1">
      <alignment horizontal="center"/>
    </xf>
    <xf numFmtId="178" fontId="70" fillId="0" borderId="70" xfId="0" applyNumberFormat="1" applyFont="1" applyBorder="1" applyAlignment="1">
      <alignment horizontal="center"/>
    </xf>
    <xf numFmtId="178" fontId="70" fillId="0" borderId="71" xfId="0" applyNumberFormat="1" applyFont="1" applyBorder="1" applyAlignment="1">
      <alignment horizontal="center"/>
    </xf>
    <xf numFmtId="0" fontId="34" fillId="0" borderId="0" xfId="14" applyFont="1" applyAlignment="1">
      <alignment horizontal="center" vertical="top" wrapText="1"/>
    </xf>
    <xf numFmtId="0" fontId="34" fillId="0" borderId="83" xfId="14" applyFont="1" applyBorder="1" applyAlignment="1">
      <alignment horizontal="center" vertical="top" wrapText="1"/>
    </xf>
    <xf numFmtId="1" fontId="71" fillId="14" borderId="57" xfId="0" applyNumberFormat="1" applyFont="1" applyFill="1" applyBorder="1" applyAlignment="1">
      <alignment horizontal="center"/>
    </xf>
    <xf numFmtId="1" fontId="71" fillId="14" borderId="82" xfId="0" applyNumberFormat="1" applyFont="1" applyFill="1" applyBorder="1" applyAlignment="1">
      <alignment horizontal="center"/>
    </xf>
    <xf numFmtId="178" fontId="71" fillId="14" borderId="57" xfId="0" applyNumberFormat="1" applyFont="1" applyFill="1" applyBorder="1" applyAlignment="1">
      <alignment horizontal="center"/>
    </xf>
    <xf numFmtId="178" fontId="71" fillId="14" borderId="82" xfId="0" applyNumberFormat="1" applyFont="1" applyFill="1" applyBorder="1" applyAlignment="1">
      <alignment horizontal="center"/>
    </xf>
    <xf numFmtId="0" fontId="13" fillId="0" borderId="0" xfId="14" applyFont="1" applyAlignment="1">
      <alignment horizontal="left" vertical="top" wrapText="1"/>
    </xf>
    <xf numFmtId="1" fontId="70" fillId="0" borderId="73" xfId="0" applyNumberFormat="1" applyFont="1" applyBorder="1" applyAlignment="1">
      <alignment horizontal="center"/>
    </xf>
    <xf numFmtId="1" fontId="70" fillId="0" borderId="74" xfId="0" applyNumberFormat="1" applyFont="1" applyBorder="1" applyAlignment="1">
      <alignment horizontal="center"/>
    </xf>
    <xf numFmtId="178" fontId="70" fillId="0" borderId="73" xfId="0" applyNumberFormat="1" applyFont="1" applyBorder="1" applyAlignment="1">
      <alignment horizontal="center"/>
    </xf>
    <xf numFmtId="178" fontId="70" fillId="0" borderId="74" xfId="0" applyNumberFormat="1" applyFont="1" applyBorder="1" applyAlignment="1">
      <alignment horizontal="center"/>
    </xf>
    <xf numFmtId="0" fontId="54" fillId="0" borderId="7" xfId="6" applyFont="1" applyBorder="1" applyAlignment="1">
      <alignment horizontal="center" vertical="top" wrapText="1"/>
    </xf>
    <xf numFmtId="0" fontId="54" fillId="0" borderId="10" xfId="6" applyFont="1" applyBorder="1" applyAlignment="1">
      <alignment horizontal="center" vertical="top" wrapText="1"/>
    </xf>
    <xf numFmtId="2" fontId="57" fillId="0" borderId="16" xfId="6" applyNumberFormat="1" applyFont="1" applyBorder="1" applyAlignment="1">
      <alignment horizontal="center" wrapText="1"/>
    </xf>
    <xf numFmtId="2" fontId="57" fillId="0" borderId="17" xfId="6" applyNumberFormat="1" applyFont="1" applyBorder="1" applyAlignment="1">
      <alignment horizontal="center" wrapText="1"/>
    </xf>
    <xf numFmtId="2" fontId="57" fillId="0" borderId="9" xfId="6" applyNumberFormat="1" applyFont="1" applyBorder="1" applyAlignment="1">
      <alignment horizontal="center" wrapText="1"/>
    </xf>
    <xf numFmtId="0" fontId="12" fillId="0" borderId="7" xfId="0" applyFont="1" applyBorder="1" applyAlignment="1">
      <alignment horizontal="center" wrapText="1"/>
    </xf>
    <xf numFmtId="2" fontId="16" fillId="0" borderId="7" xfId="6" applyNumberFormat="1" applyBorder="1" applyAlignment="1">
      <alignment horizontal="center" wrapText="1"/>
    </xf>
    <xf numFmtId="0" fontId="16" fillId="0" borderId="4" xfId="6" applyBorder="1" applyAlignment="1">
      <alignment horizontal="center" vertical="top" wrapText="1"/>
    </xf>
    <xf numFmtId="0" fontId="16" fillId="0" borderId="5" xfId="6" applyBorder="1" applyAlignment="1">
      <alignment horizontal="center" vertical="top" wrapText="1"/>
    </xf>
    <xf numFmtId="0" fontId="16" fillId="0" borderId="6" xfId="6" applyBorder="1" applyAlignment="1">
      <alignment horizontal="center" vertical="top" wrapText="1"/>
    </xf>
    <xf numFmtId="0" fontId="76" fillId="0" borderId="0" xfId="0" applyFont="1"/>
    <xf numFmtId="0" fontId="77" fillId="0" borderId="0" xfId="0" applyFont="1"/>
    <xf numFmtId="0" fontId="0" fillId="7" borderId="1" xfId="0" applyFill="1" applyBorder="1" applyAlignment="1">
      <alignment horizontal="left" vertical="top" wrapText="1"/>
    </xf>
    <xf numFmtId="0" fontId="0" fillId="7" borderId="18" xfId="0" applyFill="1" applyBorder="1" applyAlignment="1">
      <alignment horizontal="left" vertical="top" wrapText="1"/>
    </xf>
    <xf numFmtId="0" fontId="0" fillId="7" borderId="10" xfId="0" applyFill="1" applyBorder="1" applyAlignment="1">
      <alignment horizontal="left" vertical="top" wrapText="1"/>
    </xf>
    <xf numFmtId="0" fontId="0" fillId="0" borderId="2" xfId="0" applyBorder="1" applyAlignment="1">
      <alignment horizontal="left" wrapText="1"/>
    </xf>
    <xf numFmtId="0" fontId="0" fillId="7" borderId="2" xfId="0" applyFill="1" applyBorder="1" applyAlignment="1">
      <alignment horizontal="left" vertical="top" wrapText="1"/>
    </xf>
    <xf numFmtId="0" fontId="0" fillId="7" borderId="0" xfId="0" applyFill="1" applyAlignment="1">
      <alignment horizontal="left" vertical="top" wrapText="1"/>
    </xf>
    <xf numFmtId="0" fontId="0" fillId="7" borderId="35" xfId="0" applyFill="1" applyBorder="1" applyAlignment="1">
      <alignment horizontal="left" vertical="top" wrapText="1"/>
    </xf>
    <xf numFmtId="0" fontId="0" fillId="7" borderId="3" xfId="0" applyFill="1" applyBorder="1" applyAlignment="1">
      <alignment horizontal="left" vertical="top" wrapText="1"/>
    </xf>
    <xf numFmtId="0" fontId="0" fillId="7" borderId="8" xfId="0" applyFill="1" applyBorder="1" applyAlignment="1">
      <alignment horizontal="left" vertical="top" wrapText="1"/>
    </xf>
    <xf numFmtId="0" fontId="0" fillId="7" borderId="11" xfId="0" applyFill="1" applyBorder="1" applyAlignment="1">
      <alignment horizontal="left" vertical="top" wrapText="1"/>
    </xf>
    <xf numFmtId="0" fontId="0" fillId="0" borderId="4" xfId="0" applyBorder="1" applyAlignment="1">
      <alignment horizontal="left" wrapText="1"/>
    </xf>
    <xf numFmtId="0" fontId="0" fillId="0" borderId="6" xfId="0" applyBorder="1" applyAlignment="1">
      <alignment horizontal="left" wrapText="1"/>
    </xf>
    <xf numFmtId="0" fontId="0" fillId="2" borderId="7" xfId="0" applyFill="1" applyBorder="1"/>
    <xf numFmtId="0" fontId="26" fillId="0" borderId="2" xfId="0" applyFont="1" applyBorder="1" applyAlignment="1">
      <alignment horizontal="left" wrapText="1"/>
    </xf>
    <xf numFmtId="0" fontId="26" fillId="0" borderId="0" xfId="0" applyFont="1" applyAlignment="1">
      <alignment horizontal="left" wrapText="1"/>
    </xf>
    <xf numFmtId="0" fontId="78" fillId="0" borderId="0" xfId="0" applyFont="1"/>
    <xf numFmtId="0" fontId="0" fillId="0" borderId="7" xfId="0" applyBorder="1"/>
    <xf numFmtId="0" fontId="16" fillId="0" borderId="0" xfId="0" applyFont="1" applyAlignment="1">
      <alignment horizontal="left" vertical="top"/>
    </xf>
    <xf numFmtId="0" fontId="0" fillId="0" borderId="4" xfId="0" applyBorder="1" applyAlignment="1">
      <alignment horizontal="left"/>
    </xf>
    <xf numFmtId="0" fontId="0" fillId="0" borderId="6" xfId="0" applyBorder="1" applyAlignment="1">
      <alignment horizontal="left"/>
    </xf>
    <xf numFmtId="0" fontId="45" fillId="0" borderId="7" xfId="0" applyFont="1" applyBorder="1"/>
    <xf numFmtId="0" fontId="45" fillId="0" borderId="0" xfId="0" applyFont="1"/>
    <xf numFmtId="0" fontId="13" fillId="0" borderId="4" xfId="0" applyFont="1" applyBorder="1" applyAlignment="1">
      <alignment horizontal="right"/>
    </xf>
    <xf numFmtId="0" fontId="13" fillId="0" borderId="5" xfId="0" applyFont="1" applyBorder="1" applyAlignment="1">
      <alignment horizontal="right"/>
    </xf>
    <xf numFmtId="0" fontId="13" fillId="0" borderId="6" xfId="0" applyFont="1" applyBorder="1" applyAlignment="1">
      <alignment horizontal="right"/>
    </xf>
    <xf numFmtId="0" fontId="0" fillId="0" borderId="7" xfId="0" applyBorder="1" applyAlignment="1">
      <alignment horizontal="left"/>
    </xf>
    <xf numFmtId="0" fontId="60" fillId="0" borderId="0" xfId="0" applyFont="1" applyAlignment="1">
      <alignment vertical="center" wrapText="1"/>
    </xf>
    <xf numFmtId="0" fontId="60" fillId="0" borderId="2" xfId="0" applyFont="1" applyBorder="1" applyAlignment="1">
      <alignment vertical="center" wrapText="1"/>
    </xf>
    <xf numFmtId="0" fontId="79" fillId="0" borderId="0" xfId="0" applyFont="1" applyAlignment="1">
      <alignment horizontal="center"/>
    </xf>
    <xf numFmtId="0" fontId="0" fillId="7" borderId="7" xfId="0" applyFill="1" applyBorder="1" applyAlignment="1">
      <alignment horizontal="left" vertical="top" wrapText="1"/>
    </xf>
    <xf numFmtId="0" fontId="0" fillId="0" borderId="7" xfId="0" applyBorder="1" applyAlignment="1">
      <alignment horizontal="center"/>
    </xf>
    <xf numFmtId="0" fontId="12" fillId="0" borderId="7" xfId="0" applyFont="1" applyBorder="1" applyAlignment="1">
      <alignment horizontal="left" vertical="top" wrapText="1"/>
    </xf>
    <xf numFmtId="0" fontId="45" fillId="0" borderId="7" xfId="0" applyFont="1" applyBorder="1" applyAlignment="1">
      <alignment horizontal="center" vertical="center"/>
    </xf>
    <xf numFmtId="0" fontId="26" fillId="0" borderId="2" xfId="0" applyFont="1" applyBorder="1" applyAlignment="1">
      <alignment horizontal="left" vertical="center" wrapText="1"/>
    </xf>
    <xf numFmtId="0" fontId="26" fillId="0" borderId="0" xfId="0" applyFont="1" applyAlignment="1">
      <alignment horizontal="left" vertical="center" wrapText="1"/>
    </xf>
    <xf numFmtId="0" fontId="0" fillId="0" borderId="7" xfId="0" applyBorder="1" applyAlignment="1">
      <alignment horizontal="center" wrapText="1"/>
    </xf>
    <xf numFmtId="0" fontId="35" fillId="0" borderId="7" xfId="0" applyFont="1" applyBorder="1"/>
    <xf numFmtId="0" fontId="0" fillId="0" borderId="7" xfId="0" applyBorder="1" applyAlignment="1">
      <alignment horizontal="left" wrapText="1"/>
    </xf>
    <xf numFmtId="0" fontId="16" fillId="0" borderId="7" xfId="0" applyFont="1" applyBorder="1" applyAlignment="1">
      <alignment horizontal="center" vertical="center"/>
    </xf>
    <xf numFmtId="0" fontId="40" fillId="0" borderId="0" xfId="0" applyFont="1" applyAlignment="1">
      <alignment horizontal="center" vertical="center"/>
    </xf>
    <xf numFmtId="0" fontId="0" fillId="0" borderId="0" xfId="0" applyAlignment="1">
      <alignment vertical="top"/>
    </xf>
    <xf numFmtId="0" fontId="0" fillId="0" borderId="4" xfId="0" applyBorder="1" applyAlignment="1">
      <alignment wrapText="1"/>
    </xf>
    <xf numFmtId="0" fontId="0" fillId="0" borderId="6" xfId="0" applyBorder="1" applyAlignment="1">
      <alignment wrapText="1"/>
    </xf>
    <xf numFmtId="0" fontId="12" fillId="0" borderId="4" xfId="0" applyFont="1" applyBorder="1" applyAlignment="1">
      <alignment wrapText="1"/>
    </xf>
    <xf numFmtId="0" fontId="12" fillId="0" borderId="6" xfId="0" applyFont="1" applyBorder="1" applyAlignment="1">
      <alignment wrapText="1"/>
    </xf>
    <xf numFmtId="0" fontId="35" fillId="0" borderId="18" xfId="0" applyFont="1" applyBorder="1" applyAlignment="1">
      <alignment horizontal="left"/>
    </xf>
    <xf numFmtId="0" fontId="0" fillId="0" borderId="18" xfId="0" applyBorder="1" applyAlignment="1">
      <alignment horizontal="left"/>
    </xf>
    <xf numFmtId="0" fontId="16" fillId="0" borderId="18" xfId="0" applyFont="1" applyBorder="1" applyAlignment="1">
      <alignment horizontal="left"/>
    </xf>
    <xf numFmtId="0" fontId="35" fillId="0" borderId="10" xfId="0" applyFont="1" applyBorder="1" applyAlignment="1">
      <alignment horizontal="left"/>
    </xf>
    <xf numFmtId="0" fontId="35" fillId="0" borderId="35" xfId="0" applyFont="1" applyBorder="1"/>
    <xf numFmtId="0" fontId="42" fillId="0" borderId="0" xfId="0" applyFont="1"/>
    <xf numFmtId="0" fontId="0" fillId="2" borderId="4" xfId="0" applyFill="1" applyBorder="1"/>
    <xf numFmtId="9" fontId="0" fillId="0" borderId="0" xfId="3" applyFont="1" applyAlignment="1"/>
    <xf numFmtId="0" fontId="35" fillId="0" borderId="11" xfId="0" applyFont="1" applyBorder="1"/>
    <xf numFmtId="0" fontId="0" fillId="0" borderId="4" xfId="0" applyBorder="1"/>
    <xf numFmtId="0" fontId="42" fillId="0" borderId="2" xfId="0" applyFont="1" applyBorder="1"/>
    <xf numFmtId="9" fontId="0" fillId="0" borderId="7" xfId="3" applyFont="1" applyBorder="1" applyAlignment="1"/>
    <xf numFmtId="0" fontId="43" fillId="0" borderId="2" xfId="0" applyFont="1" applyBorder="1"/>
    <xf numFmtId="0" fontId="0" fillId="0" borderId="18" xfId="0" applyBorder="1" applyAlignment="1">
      <alignment horizontal="left" vertical="center" wrapText="1"/>
    </xf>
    <xf numFmtId="0" fontId="38" fillId="0" borderId="0" xfId="0" applyFont="1"/>
    <xf numFmtId="9" fontId="0" fillId="0" borderId="4" xfId="3" applyFont="1" applyBorder="1" applyAlignment="1"/>
    <xf numFmtId="0" fontId="0" fillId="0" borderId="18" xfId="0" applyBorder="1" applyAlignment="1">
      <alignment horizontal="left" vertical="top" wrapText="1"/>
    </xf>
    <xf numFmtId="0" fontId="0" fillId="17" borderId="4" xfId="0" applyFill="1" applyBorder="1" applyAlignment="1">
      <alignment horizontal="left" vertical="top"/>
    </xf>
    <xf numFmtId="0" fontId="0" fillId="17" borderId="5" xfId="0" applyFill="1" applyBorder="1" applyAlignment="1">
      <alignment horizontal="left" vertical="top"/>
    </xf>
    <xf numFmtId="0" fontId="0" fillId="17" borderId="6" xfId="0" applyFill="1" applyBorder="1" applyAlignment="1">
      <alignment horizontal="left" vertical="top"/>
    </xf>
    <xf numFmtId="0" fontId="44" fillId="0" borderId="0" xfId="0" applyFont="1" applyAlignment="1">
      <alignment horizontal="left" vertical="top" wrapText="1"/>
    </xf>
    <xf numFmtId="0" fontId="12" fillId="0" borderId="4" xfId="0" applyFont="1" applyBorder="1" applyAlignment="1">
      <alignment horizontal="left"/>
    </xf>
    <xf numFmtId="0" fontId="12" fillId="0" borderId="6" xfId="0" applyFont="1" applyBorder="1" applyAlignment="1">
      <alignment horizontal="left"/>
    </xf>
    <xf numFmtId="9" fontId="0" fillId="2" borderId="4" xfId="3" applyFont="1" applyFill="1" applyBorder="1"/>
    <xf numFmtId="0" fontId="34" fillId="0" borderId="0" xfId="0" applyFont="1" applyAlignment="1">
      <alignment vertical="center"/>
    </xf>
    <xf numFmtId="0" fontId="34" fillId="0" borderId="0" xfId="0" applyFont="1" applyAlignment="1">
      <alignment horizontal="right" vertical="center"/>
    </xf>
    <xf numFmtId="0" fontId="13" fillId="0" borderId="4" xfId="0" applyFont="1" applyBorder="1" applyAlignment="1">
      <alignment horizontal="left" vertical="top"/>
    </xf>
    <xf numFmtId="0" fontId="13" fillId="0" borderId="5" xfId="0" applyFont="1" applyBorder="1" applyAlignment="1">
      <alignment horizontal="left" vertical="top"/>
    </xf>
    <xf numFmtId="0" fontId="13" fillId="0" borderId="6" xfId="0" applyFont="1" applyBorder="1" applyAlignment="1">
      <alignment horizontal="left" vertical="top"/>
    </xf>
    <xf numFmtId="0" fontId="13" fillId="0" borderId="7" xfId="0" applyFont="1" applyBorder="1" applyAlignment="1">
      <alignment horizontal="center" vertical="center" wrapText="1"/>
    </xf>
    <xf numFmtId="0" fontId="13" fillId="0" borderId="4" xfId="0" applyFont="1" applyBorder="1" applyAlignment="1">
      <alignment vertical="center" wrapText="1"/>
    </xf>
    <xf numFmtId="0" fontId="13" fillId="0" borderId="4" xfId="0" applyFont="1" applyBorder="1" applyAlignment="1">
      <alignment horizontal="center" vertical="center" wrapText="1"/>
    </xf>
    <xf numFmtId="0" fontId="0" fillId="0" borderId="4" xfId="0" applyBorder="1" applyAlignment="1">
      <alignment horizontal="left" vertical="top"/>
    </xf>
    <xf numFmtId="0" fontId="0" fillId="0" borderId="6" xfId="0" applyBorder="1" applyAlignment="1">
      <alignment horizontal="left" vertical="top"/>
    </xf>
    <xf numFmtId="0" fontId="0" fillId="17" borderId="4" xfId="0" applyFill="1" applyBorder="1" applyAlignment="1">
      <alignment horizontal="center" vertical="top"/>
    </xf>
    <xf numFmtId="0" fontId="41" fillId="0" borderId="45" xfId="0" applyFont="1" applyBorder="1" applyAlignment="1">
      <alignment horizontal="center" vertical="center"/>
    </xf>
    <xf numFmtId="0" fontId="41" fillId="0" borderId="46" xfId="0" applyFont="1" applyBorder="1" applyAlignment="1">
      <alignment horizontal="center" vertical="center"/>
    </xf>
    <xf numFmtId="0" fontId="0" fillId="0" borderId="46" xfId="0" applyBorder="1" applyAlignment="1">
      <alignment horizontal="left" vertical="top"/>
    </xf>
    <xf numFmtId="0" fontId="0" fillId="0" borderId="47" xfId="0" applyBorder="1" applyAlignment="1">
      <alignment horizontal="left" vertical="top"/>
    </xf>
    <xf numFmtId="166" fontId="13" fillId="0" borderId="7" xfId="0" applyNumberFormat="1" applyFont="1" applyBorder="1" applyAlignment="1">
      <alignment horizontal="center" vertical="center"/>
    </xf>
    <xf numFmtId="167" fontId="13" fillId="0" borderId="4" xfId="0" applyNumberFormat="1" applyFont="1" applyBorder="1" applyAlignment="1">
      <alignment horizontal="center" vertical="center"/>
    </xf>
    <xf numFmtId="167" fontId="13" fillId="0" borderId="7" xfId="0" applyNumberFormat="1" applyFont="1" applyBorder="1" applyAlignment="1">
      <alignment horizontal="center" vertical="center"/>
    </xf>
    <xf numFmtId="0" fontId="0" fillId="0" borderId="4" xfId="0" applyBorder="1" applyAlignment="1">
      <alignment horizontal="left" vertical="top" wrapText="1"/>
    </xf>
    <xf numFmtId="0" fontId="0" fillId="0" borderId="6" xfId="0" applyBorder="1" applyAlignment="1">
      <alignment horizontal="left" vertical="top" wrapText="1"/>
    </xf>
    <xf numFmtId="0" fontId="59" fillId="0" borderId="45" xfId="0" applyFont="1" applyBorder="1" applyAlignment="1">
      <alignment horizontal="left" vertical="top" wrapText="1"/>
    </xf>
    <xf numFmtId="0" fontId="59" fillId="0" borderId="46" xfId="0" applyFont="1" applyBorder="1" applyAlignment="1">
      <alignment horizontal="left" vertical="top" wrapText="1"/>
    </xf>
    <xf numFmtId="0" fontId="59" fillId="0" borderId="47" xfId="0" applyFont="1" applyBorder="1" applyAlignment="1">
      <alignment horizontal="left" vertical="top" wrapText="1"/>
    </xf>
    <xf numFmtId="166" fontId="13" fillId="0" borderId="16" xfId="0" applyNumberFormat="1" applyFont="1" applyBorder="1" applyAlignment="1">
      <alignment horizontal="center" vertical="center"/>
    </xf>
    <xf numFmtId="0" fontId="13" fillId="0" borderId="0" xfId="0" applyFont="1" applyAlignment="1">
      <alignment vertical="center"/>
    </xf>
    <xf numFmtId="0" fontId="0" fillId="0" borderId="1" xfId="0" applyBorder="1" applyAlignment="1">
      <alignment horizontal="left" vertical="top" wrapText="1"/>
    </xf>
    <xf numFmtId="0" fontId="0" fillId="0" borderId="10" xfId="0" applyBorder="1" applyAlignment="1">
      <alignment horizontal="left" vertical="top" wrapText="1"/>
    </xf>
    <xf numFmtId="0" fontId="0" fillId="17" borderId="16" xfId="0" applyFill="1" applyBorder="1" applyAlignment="1">
      <alignment horizontal="center" vertical="top"/>
    </xf>
    <xf numFmtId="0" fontId="41" fillId="0" borderId="2" xfId="0" applyFont="1" applyBorder="1" applyAlignment="1">
      <alignment horizontal="center" vertical="center"/>
    </xf>
    <xf numFmtId="0" fontId="41" fillId="0" borderId="0" xfId="0" applyFont="1" applyAlignment="1">
      <alignment horizontal="center" vertical="center"/>
    </xf>
    <xf numFmtId="0" fontId="0" fillId="0" borderId="5" xfId="0" applyBorder="1"/>
    <xf numFmtId="0" fontId="11" fillId="0" borderId="6" xfId="0" applyFont="1" applyBorder="1" applyAlignment="1">
      <alignment horizontal="right" vertical="center"/>
    </xf>
    <xf numFmtId="0" fontId="0" fillId="17" borderId="18" xfId="0" applyFill="1" applyBorder="1" applyAlignment="1">
      <alignment horizontal="center" vertical="top"/>
    </xf>
    <xf numFmtId="0" fontId="11" fillId="0" borderId="0" xfId="0" applyFont="1" applyAlignment="1">
      <alignment horizontal="right" vertical="center"/>
    </xf>
    <xf numFmtId="167" fontId="13" fillId="0" borderId="0" xfId="0" applyNumberFormat="1" applyFont="1" applyAlignment="1">
      <alignment horizontal="center" vertical="center"/>
    </xf>
    <xf numFmtId="0" fontId="23" fillId="0" borderId="18" xfId="0" applyFont="1" applyBorder="1" applyAlignment="1">
      <alignment horizontal="center" vertical="center"/>
    </xf>
    <xf numFmtId="0" fontId="63" fillId="0" borderId="4" xfId="0" applyFont="1" applyBorder="1" applyAlignment="1">
      <alignment horizontal="left" vertical="center"/>
    </xf>
    <xf numFmtId="0" fontId="63" fillId="0" borderId="5" xfId="0" applyFont="1" applyBorder="1" applyAlignment="1">
      <alignment horizontal="center" vertical="center"/>
    </xf>
    <xf numFmtId="0" fontId="63" fillId="0" borderId="6" xfId="0" applyFont="1" applyBorder="1" applyAlignment="1">
      <alignment horizontal="center" vertical="center"/>
    </xf>
    <xf numFmtId="0" fontId="0" fillId="0" borderId="1" xfId="0" applyBorder="1" applyAlignment="1">
      <alignment horizontal="left" vertical="center"/>
    </xf>
    <xf numFmtId="0" fontId="0" fillId="2" borderId="18" xfId="0" applyFill="1" applyBorder="1" applyAlignment="1">
      <alignment horizontal="left" vertical="center"/>
    </xf>
    <xf numFmtId="0" fontId="0" fillId="0" borderId="18" xfId="0" applyBorder="1" applyAlignment="1">
      <alignment vertical="center"/>
    </xf>
    <xf numFmtId="0" fontId="32" fillId="18" borderId="104" xfId="0" applyFont="1" applyFill="1" applyBorder="1" applyAlignment="1">
      <alignment horizontal="left" vertical="center" wrapText="1"/>
    </xf>
    <xf numFmtId="0" fontId="32" fillId="18" borderId="63" xfId="0" applyFont="1" applyFill="1" applyBorder="1" applyAlignment="1">
      <alignment horizontal="left" vertical="center"/>
    </xf>
    <xf numFmtId="0" fontId="13" fillId="0" borderId="7" xfId="24" applyFont="1" applyBorder="1" applyAlignment="1">
      <alignment wrapText="1"/>
    </xf>
    <xf numFmtId="0" fontId="1" fillId="2" borderId="7" xfId="24" applyFill="1" applyBorder="1"/>
    <xf numFmtId="0" fontId="61" fillId="0" borderId="7" xfId="24" applyFont="1" applyBorder="1"/>
    <xf numFmtId="0" fontId="43" fillId="4" borderId="7" xfId="25" applyFont="1" applyFill="1" applyBorder="1" applyAlignment="1">
      <alignment vertical="center" wrapText="1"/>
    </xf>
    <xf numFmtId="0" fontId="43" fillId="4" borderId="4" xfId="25" applyFont="1" applyFill="1" applyBorder="1" applyAlignment="1">
      <alignment horizontal="center" vertical="center"/>
    </xf>
    <xf numFmtId="0" fontId="43" fillId="4" borderId="6" xfId="25" applyFont="1" applyFill="1" applyBorder="1" applyAlignment="1">
      <alignment horizontal="center" vertical="center"/>
    </xf>
    <xf numFmtId="0" fontId="43" fillId="3" borderId="7" xfId="25" applyFont="1" applyFill="1" applyBorder="1" applyAlignment="1">
      <alignment vertical="center" wrapText="1"/>
    </xf>
    <xf numFmtId="0" fontId="43" fillId="3" borderId="4" xfId="25" applyFont="1" applyFill="1" applyBorder="1" applyAlignment="1">
      <alignment horizontal="center" vertical="center"/>
    </xf>
    <xf numFmtId="0" fontId="43" fillId="3" borderId="6" xfId="25" applyFont="1" applyFill="1" applyBorder="1" applyAlignment="1">
      <alignment horizontal="center" vertical="center"/>
    </xf>
    <xf numFmtId="0" fontId="1" fillId="0" borderId="7" xfId="24" applyBorder="1"/>
    <xf numFmtId="0" fontId="14" fillId="0" borderId="2" xfId="25" applyFont="1" applyBorder="1" applyAlignment="1">
      <alignment horizontal="right" vertical="top"/>
    </xf>
    <xf numFmtId="0" fontId="43" fillId="4" borderId="7" xfId="25" applyFont="1" applyFill="1" applyBorder="1" applyAlignment="1">
      <alignment horizontal="center" vertical="center"/>
    </xf>
    <xf numFmtId="164" fontId="0" fillId="2" borderId="16" xfId="2" applyNumberFormat="1" applyFont="1" applyFill="1" applyBorder="1" applyAlignment="1">
      <alignment horizontal="left" vertical="top"/>
    </xf>
    <xf numFmtId="0" fontId="12" fillId="0" borderId="4" xfId="25" applyFont="1" applyBorder="1" applyAlignment="1">
      <alignment horizontal="left" vertical="top" wrapText="1"/>
    </xf>
    <xf numFmtId="0" fontId="28" fillId="0" borderId="7" xfId="25" applyFont="1" applyBorder="1" applyAlignment="1">
      <alignment horizontal="left" vertical="top" wrapText="1"/>
    </xf>
    <xf numFmtId="0" fontId="12" fillId="0" borderId="5" xfId="25" applyFont="1" applyBorder="1" applyAlignment="1">
      <alignment horizontal="left" vertical="top" wrapText="1"/>
    </xf>
    <xf numFmtId="0" fontId="26" fillId="0" borderId="5" xfId="25" applyFont="1" applyBorder="1" applyAlignment="1">
      <alignment horizontal="left" vertical="top"/>
    </xf>
    <xf numFmtId="0" fontId="26" fillId="0" borderId="6" xfId="25" applyFont="1" applyBorder="1" applyAlignment="1">
      <alignment horizontal="left" vertical="top"/>
    </xf>
    <xf numFmtId="0" fontId="27" fillId="0" borderId="7" xfId="25" applyFont="1" applyBorder="1" applyAlignment="1">
      <alignment horizontal="left" vertical="top" wrapText="1"/>
    </xf>
    <xf numFmtId="0" fontId="27" fillId="0" borderId="5" xfId="25" applyFont="1" applyBorder="1" applyAlignment="1">
      <alignment horizontal="left" vertical="top" wrapText="1"/>
    </xf>
    <xf numFmtId="0" fontId="11" fillId="0" borderId="3" xfId="25" applyFont="1" applyBorder="1" applyAlignment="1">
      <alignment horizontal="left" vertical="top" wrapText="1"/>
    </xf>
    <xf numFmtId="0" fontId="11" fillId="0" borderId="4" xfId="25" applyFont="1" applyBorder="1" applyAlignment="1">
      <alignment horizontal="left" vertical="top" wrapText="1"/>
    </xf>
    <xf numFmtId="0" fontId="11" fillId="18" borderId="4" xfId="25" applyFont="1" applyFill="1" applyBorder="1" applyAlignment="1">
      <alignment horizontal="left" vertical="top" wrapText="1"/>
    </xf>
    <xf numFmtId="0" fontId="11" fillId="18" borderId="6" xfId="25" applyFont="1" applyFill="1" applyBorder="1" applyAlignment="1">
      <alignment horizontal="left" vertical="top" wrapText="1"/>
    </xf>
    <xf numFmtId="0" fontId="11" fillId="0" borderId="5" xfId="25" applyFont="1" applyBorder="1" applyAlignment="1">
      <alignment vertical="top" wrapText="1"/>
    </xf>
    <xf numFmtId="0" fontId="11" fillId="0" borderId="6" xfId="25" applyFont="1" applyBorder="1" applyAlignment="1">
      <alignment horizontal="right" vertical="top" wrapText="1"/>
    </xf>
    <xf numFmtId="0" fontId="11" fillId="0" borderId="4" xfId="25" applyFont="1" applyBorder="1" applyAlignment="1">
      <alignment horizontal="right" vertical="top" wrapText="1"/>
    </xf>
    <xf numFmtId="0" fontId="11" fillId="0" borderId="7" xfId="25" applyFont="1" applyBorder="1" applyAlignment="1">
      <alignment horizontal="left" vertical="top" wrapText="1"/>
    </xf>
    <xf numFmtId="0" fontId="11" fillId="0" borderId="7" xfId="25" applyFont="1" applyBorder="1" applyAlignment="1">
      <alignment horizontal="center" vertical="top" wrapText="1"/>
    </xf>
    <xf numFmtId="0" fontId="9" fillId="0" borderId="4" xfId="25" applyFont="1" applyBorder="1" applyAlignment="1">
      <alignment horizontal="left" vertical="top" wrapText="1"/>
    </xf>
    <xf numFmtId="0" fontId="28" fillId="0" borderId="5" xfId="25" applyFont="1" applyBorder="1" applyAlignment="1">
      <alignment horizontal="left" vertical="top" wrapText="1"/>
    </xf>
    <xf numFmtId="0" fontId="9" fillId="0" borderId="5" xfId="25" applyFont="1" applyBorder="1" applyAlignment="1">
      <alignment horizontal="left" vertical="top" wrapText="1"/>
    </xf>
    <xf numFmtId="3" fontId="12" fillId="0" borderId="5" xfId="25" applyNumberFormat="1" applyFont="1" applyBorder="1" applyAlignment="1">
      <alignment horizontal="left" vertical="top"/>
    </xf>
    <xf numFmtId="0" fontId="12" fillId="0" borderId="5" xfId="25" applyFont="1" applyBorder="1" applyAlignment="1">
      <alignment horizontal="left" vertical="top"/>
    </xf>
    <xf numFmtId="3" fontId="12" fillId="0" borderId="6" xfId="25" applyNumberFormat="1" applyFont="1" applyBorder="1" applyAlignment="1">
      <alignment horizontal="left" vertical="top"/>
    </xf>
    <xf numFmtId="3" fontId="12" fillId="0" borderId="7" xfId="25" applyNumberFormat="1" applyFont="1" applyBorder="1" applyAlignment="1">
      <alignment horizontal="left" vertical="top"/>
    </xf>
    <xf numFmtId="0" fontId="12" fillId="0" borderId="7" xfId="25" applyFont="1" applyBorder="1" applyAlignment="1">
      <alignment horizontal="left" vertical="top"/>
    </xf>
    <xf numFmtId="0" fontId="15" fillId="0" borderId="7" xfId="25" applyFont="1" applyBorder="1" applyAlignment="1">
      <alignment horizontal="left" vertical="top" wrapText="1"/>
    </xf>
    <xf numFmtId="0" fontId="15" fillId="0" borderId="3" xfId="25" applyFont="1" applyBorder="1" applyAlignment="1">
      <alignment horizontal="left" vertical="top" wrapText="1"/>
    </xf>
    <xf numFmtId="0" fontId="12" fillId="0" borderId="3" xfId="25" applyFont="1" applyBorder="1" applyAlignment="1">
      <alignment horizontal="left" vertical="top" wrapText="1"/>
    </xf>
    <xf numFmtId="0" fontId="12" fillId="18" borderId="3" xfId="25" applyFont="1" applyFill="1" applyBorder="1" applyAlignment="1">
      <alignment horizontal="left" vertical="top" wrapText="1"/>
    </xf>
    <xf numFmtId="1" fontId="12" fillId="18" borderId="3" xfId="25" applyNumberFormat="1" applyFont="1" applyFill="1" applyBorder="1" applyAlignment="1">
      <alignment horizontal="left" vertical="top" wrapText="1"/>
    </xf>
    <xf numFmtId="0" fontId="18" fillId="18" borderId="3" xfId="8" applyFill="1" applyBorder="1" applyAlignment="1">
      <alignment horizontal="left" vertical="top" wrapText="1"/>
    </xf>
    <xf numFmtId="193" fontId="12" fillId="18" borderId="3" xfId="25" applyNumberFormat="1" applyFont="1" applyFill="1" applyBorder="1" applyAlignment="1">
      <alignment horizontal="left" vertical="top" wrapText="1"/>
    </xf>
    <xf numFmtId="0" fontId="12" fillId="2" borderId="4" xfId="25" applyFont="1" applyFill="1" applyBorder="1" applyAlignment="1">
      <alignment horizontal="left" vertical="top"/>
    </xf>
    <xf numFmtId="0" fontId="12" fillId="0" borderId="6" xfId="25" applyFont="1" applyBorder="1" applyAlignment="1">
      <alignment horizontal="left" vertical="top"/>
    </xf>
    <xf numFmtId="187" fontId="12" fillId="2" borderId="8" xfId="25" applyNumberFormat="1" applyFont="1" applyFill="1" applyBorder="1" applyAlignment="1">
      <alignment horizontal="left" vertical="top"/>
    </xf>
    <xf numFmtId="0" fontId="12" fillId="0" borderId="7" xfId="25" applyFont="1" applyBorder="1" applyAlignment="1">
      <alignment horizontal="left" vertical="top" wrapText="1"/>
    </xf>
    <xf numFmtId="6" fontId="12" fillId="0" borderId="7" xfId="25" applyNumberFormat="1" applyFont="1" applyBorder="1" applyAlignment="1">
      <alignment horizontal="left" vertical="top"/>
    </xf>
    <xf numFmtId="0" fontId="12" fillId="0" borderId="8" xfId="25" applyFont="1" applyBorder="1" applyAlignment="1">
      <alignment horizontal="left" vertical="top"/>
    </xf>
    <xf numFmtId="0" fontId="9" fillId="0" borderId="1" xfId="25" applyFont="1" applyBorder="1" applyAlignment="1">
      <alignment horizontal="left" vertical="top" wrapText="1"/>
    </xf>
    <xf numFmtId="49" fontId="28" fillId="0" borderId="18" xfId="25" applyNumberFormat="1" applyFont="1" applyBorder="1" applyAlignment="1">
      <alignment horizontal="left" vertical="top" wrapText="1"/>
    </xf>
    <xf numFmtId="0" fontId="15" fillId="0" borderId="16" xfId="25" applyFont="1" applyBorder="1" applyAlignment="1">
      <alignment horizontal="left" vertical="top" wrapText="1"/>
    </xf>
    <xf numFmtId="0" fontId="15" fillId="0" borderId="2" xfId="25" applyFont="1" applyBorder="1" applyAlignment="1">
      <alignment horizontal="left" vertical="top" wrapText="1"/>
    </xf>
    <xf numFmtId="181" fontId="13" fillId="18" borderId="3" xfId="25" applyNumberFormat="1" applyFont="1" applyFill="1" applyBorder="1" applyAlignment="1">
      <alignment horizontal="left" vertical="top" wrapText="1"/>
    </xf>
    <xf numFmtId="0" fontId="12" fillId="2" borderId="3" xfId="25" applyFont="1" applyFill="1" applyBorder="1" applyAlignment="1">
      <alignment horizontal="left" vertical="top"/>
    </xf>
    <xf numFmtId="0" fontId="9" fillId="0" borderId="2" xfId="25" applyFont="1" applyBorder="1" applyAlignment="1">
      <alignment horizontal="left" vertical="top" wrapText="1"/>
    </xf>
    <xf numFmtId="0" fontId="15" fillId="0" borderId="17" xfId="25" applyFont="1" applyBorder="1" applyAlignment="1">
      <alignment horizontal="left" vertical="top" wrapText="1"/>
    </xf>
    <xf numFmtId="3" fontId="11" fillId="0" borderId="7" xfId="25" applyNumberFormat="1" applyFont="1" applyBorder="1" applyAlignment="1">
      <alignment horizontal="left" vertical="top" wrapText="1"/>
    </xf>
    <xf numFmtId="0" fontId="13" fillId="0" borderId="6" xfId="25" applyFont="1" applyBorder="1" applyAlignment="1">
      <alignment horizontal="left" vertical="top" wrapText="1"/>
    </xf>
    <xf numFmtId="0" fontId="14" fillId="0" borderId="7" xfId="25" applyFont="1" applyBorder="1" applyAlignment="1">
      <alignment horizontal="center" vertical="top"/>
    </xf>
    <xf numFmtId="0" fontId="1" fillId="0" borderId="0" xfId="25" applyAlignment="1">
      <alignment horizontal="left" vertical="top"/>
    </xf>
    <xf numFmtId="0" fontId="13" fillId="0" borderId="7" xfId="25" applyFont="1" applyBorder="1" applyAlignment="1">
      <alignment horizontal="left" vertical="top" wrapText="1"/>
    </xf>
    <xf numFmtId="0" fontId="9" fillId="0" borderId="3" xfId="25" applyFont="1" applyBorder="1" applyAlignment="1">
      <alignment horizontal="left" vertical="top" wrapText="1"/>
    </xf>
    <xf numFmtId="3" fontId="12" fillId="0" borderId="7" xfId="25" applyNumberFormat="1" applyFont="1" applyBorder="1" applyAlignment="1">
      <alignment horizontal="left" vertical="top" wrapText="1"/>
    </xf>
    <xf numFmtId="0" fontId="15" fillId="0" borderId="9" xfId="25" applyFont="1" applyBorder="1" applyAlignment="1">
      <alignment horizontal="left" vertical="top" wrapText="1"/>
    </xf>
    <xf numFmtId="0" fontId="14" fillId="0" borderId="16" xfId="25" applyFont="1" applyBorder="1" applyAlignment="1">
      <alignment horizontal="center" vertical="top" wrapText="1"/>
    </xf>
    <xf numFmtId="0" fontId="12" fillId="18" borderId="2" xfId="25" applyFont="1" applyFill="1" applyBorder="1" applyAlignment="1">
      <alignment horizontal="left" vertical="top" wrapText="1"/>
    </xf>
    <xf numFmtId="181" fontId="13" fillId="18" borderId="2" xfId="25" applyNumberFormat="1" applyFont="1" applyFill="1" applyBorder="1" applyAlignment="1">
      <alignment horizontal="left" vertical="top" wrapText="1"/>
    </xf>
    <xf numFmtId="180" fontId="12" fillId="0" borderId="7" xfId="25" applyNumberFormat="1" applyFont="1" applyBorder="1" applyAlignment="1">
      <alignment horizontal="left" vertical="top"/>
    </xf>
    <xf numFmtId="0" fontId="28" fillId="0" borderId="18" xfId="25" applyFont="1" applyBorder="1" applyAlignment="1">
      <alignment horizontal="left" vertical="top" wrapText="1"/>
    </xf>
    <xf numFmtId="0" fontId="62" fillId="0" borderId="13" xfId="25" applyFont="1" applyBorder="1" applyAlignment="1">
      <alignment horizontal="center" vertical="center" textRotation="255"/>
    </xf>
    <xf numFmtId="0" fontId="12" fillId="0" borderId="49" xfId="25" applyFont="1" applyBorder="1" applyAlignment="1">
      <alignment horizontal="left" vertical="top"/>
    </xf>
    <xf numFmtId="0" fontId="12" fillId="18" borderId="49" xfId="25" applyFont="1" applyFill="1" applyBorder="1" applyAlignment="1">
      <alignment horizontal="left" vertical="top" wrapText="1"/>
    </xf>
    <xf numFmtId="0" fontId="12" fillId="18" borderId="49" xfId="25" applyFont="1" applyFill="1" applyBorder="1" applyAlignment="1">
      <alignment horizontal="left" vertical="top"/>
    </xf>
    <xf numFmtId="0" fontId="16" fillId="18" borderId="49" xfId="6" applyFill="1" applyBorder="1" applyAlignment="1">
      <alignment horizontal="center" vertical="top"/>
    </xf>
    <xf numFmtId="0" fontId="12" fillId="2" borderId="49" xfId="25" applyFont="1" applyFill="1" applyBorder="1" applyAlignment="1">
      <alignment horizontal="left" vertical="top"/>
    </xf>
    <xf numFmtId="0" fontId="62" fillId="0" borderId="14" xfId="25" applyFont="1" applyBorder="1" applyAlignment="1">
      <alignment horizontal="center" vertical="center" textRotation="255"/>
    </xf>
    <xf numFmtId="0" fontId="12" fillId="18" borderId="7" xfId="25" applyFont="1" applyFill="1" applyBorder="1" applyAlignment="1">
      <alignment horizontal="left" vertical="top" wrapText="1"/>
    </xf>
    <xf numFmtId="0" fontId="12" fillId="18" borderId="7" xfId="25" applyFont="1" applyFill="1" applyBorder="1" applyAlignment="1">
      <alignment horizontal="left" vertical="top"/>
    </xf>
    <xf numFmtId="0" fontId="16" fillId="18" borderId="7" xfId="6" applyFill="1" applyBorder="1" applyAlignment="1">
      <alignment horizontal="center" vertical="top"/>
    </xf>
    <xf numFmtId="0" fontId="12" fillId="2" borderId="7" xfId="25" applyFont="1" applyFill="1" applyBorder="1" applyAlignment="1">
      <alignment horizontal="left" vertical="top"/>
    </xf>
    <xf numFmtId="179" fontId="12" fillId="0" borderId="7" xfId="25" applyNumberFormat="1" applyFont="1" applyBorder="1" applyAlignment="1">
      <alignment horizontal="left" vertical="top"/>
    </xf>
    <xf numFmtId="0" fontId="13" fillId="18" borderId="7" xfId="0" applyFont="1" applyFill="1" applyBorder="1" applyAlignment="1">
      <alignment horizontal="left" vertical="top" wrapText="1"/>
    </xf>
    <xf numFmtId="0" fontId="28" fillId="0" borderId="0" xfId="25" applyFont="1" applyAlignment="1">
      <alignment horizontal="left" vertical="top" wrapText="1"/>
    </xf>
    <xf numFmtId="0" fontId="26" fillId="0" borderId="5" xfId="25" applyFont="1" applyBorder="1" applyAlignment="1">
      <alignment horizontal="left" vertical="top" wrapText="1"/>
    </xf>
    <xf numFmtId="0" fontId="9" fillId="0" borderId="1" xfId="25" applyFont="1" applyBorder="1" applyAlignment="1">
      <alignment horizontal="center" vertical="top" wrapText="1"/>
    </xf>
    <xf numFmtId="0" fontId="28" fillId="0" borderId="18" xfId="25" applyFont="1" applyBorder="1" applyAlignment="1">
      <alignment horizontal="center" vertical="top" wrapText="1"/>
    </xf>
    <xf numFmtId="0" fontId="13" fillId="18" borderId="3" xfId="0" applyFont="1" applyFill="1" applyBorder="1" applyAlignment="1">
      <alignment horizontal="left" vertical="top" wrapText="1"/>
    </xf>
    <xf numFmtId="0" fontId="13" fillId="0" borderId="52" xfId="25" applyFont="1" applyBorder="1" applyAlignment="1">
      <alignment horizontal="left" vertical="top" wrapText="1"/>
    </xf>
    <xf numFmtId="0" fontId="9" fillId="0" borderId="2" xfId="25" applyFont="1" applyBorder="1" applyAlignment="1">
      <alignment horizontal="center" vertical="top" wrapText="1"/>
    </xf>
    <xf numFmtId="0" fontId="28" fillId="0" borderId="0" xfId="25" applyFont="1" applyAlignment="1">
      <alignment horizontal="center" vertical="top" wrapText="1"/>
    </xf>
    <xf numFmtId="0" fontId="9" fillId="0" borderId="3" xfId="25" applyFont="1" applyBorder="1" applyAlignment="1">
      <alignment horizontal="center" vertical="top" wrapText="1"/>
    </xf>
    <xf numFmtId="0" fontId="12" fillId="0" borderId="6" xfId="25" applyFont="1" applyBorder="1" applyAlignment="1">
      <alignment horizontal="left" vertical="top" wrapText="1"/>
    </xf>
    <xf numFmtId="0" fontId="62" fillId="0" borderId="15" xfId="25" applyFont="1" applyBorder="1" applyAlignment="1">
      <alignment horizontal="center" vertical="center" textRotation="255"/>
    </xf>
    <xf numFmtId="0" fontId="12" fillId="0" borderId="61" xfId="25" applyFont="1" applyBorder="1" applyAlignment="1">
      <alignment horizontal="left" vertical="top" wrapText="1"/>
    </xf>
    <xf numFmtId="0" fontId="13" fillId="18" borderId="61" xfId="0" applyFont="1" applyFill="1" applyBorder="1" applyAlignment="1">
      <alignment horizontal="left" vertical="top" wrapText="1"/>
    </xf>
    <xf numFmtId="181" fontId="13" fillId="18" borderId="62" xfId="25" applyNumberFormat="1" applyFont="1" applyFill="1" applyBorder="1" applyAlignment="1">
      <alignment horizontal="left" vertical="top" wrapText="1"/>
    </xf>
    <xf numFmtId="0" fontId="16" fillId="18" borderId="61" xfId="6" applyFill="1" applyBorder="1" applyAlignment="1">
      <alignment horizontal="center" vertical="top"/>
    </xf>
    <xf numFmtId="0" fontId="13" fillId="18" borderId="2" xfId="0" applyFont="1" applyFill="1" applyBorder="1" applyAlignment="1">
      <alignment horizontal="left" vertical="top" wrapText="1"/>
    </xf>
    <xf numFmtId="187" fontId="14" fillId="2" borderId="8" xfId="25" applyNumberFormat="1" applyFont="1" applyFill="1" applyBorder="1" applyAlignment="1">
      <alignment horizontal="center" vertical="top"/>
    </xf>
    <xf numFmtId="0" fontId="12" fillId="0" borderId="9" xfId="25" applyFont="1" applyBorder="1" applyAlignment="1">
      <alignment vertical="top" textRotation="255"/>
    </xf>
    <xf numFmtId="0" fontId="13" fillId="18" borderId="9" xfId="0" applyFont="1" applyFill="1" applyBorder="1" applyAlignment="1">
      <alignment horizontal="left" vertical="top" wrapText="1"/>
    </xf>
    <xf numFmtId="0" fontId="12" fillId="18" borderId="9" xfId="25" applyFont="1" applyFill="1" applyBorder="1" applyAlignment="1">
      <alignment vertical="top" textRotation="255"/>
    </xf>
    <xf numFmtId="0" fontId="12" fillId="18" borderId="9" xfId="25" applyFont="1" applyFill="1" applyBorder="1" applyAlignment="1">
      <alignment horizontal="center" vertical="top" textRotation="255"/>
    </xf>
    <xf numFmtId="0" fontId="12" fillId="18" borderId="3" xfId="25" applyFont="1" applyFill="1" applyBorder="1" applyAlignment="1">
      <alignment horizontal="center" vertical="top" textRotation="255"/>
    </xf>
    <xf numFmtId="0" fontId="12" fillId="0" borderId="4" xfId="25" applyFont="1" applyBorder="1" applyAlignment="1">
      <alignment horizontal="left" vertical="top"/>
    </xf>
    <xf numFmtId="0" fontId="12" fillId="18" borderId="4" xfId="25" applyFont="1" applyFill="1" applyBorder="1" applyAlignment="1">
      <alignment horizontal="left" vertical="top" wrapText="1"/>
    </xf>
    <xf numFmtId="0" fontId="13" fillId="18" borderId="7" xfId="25" applyFont="1" applyFill="1" applyBorder="1" applyAlignment="1">
      <alignment horizontal="left" vertical="top" wrapText="1"/>
    </xf>
    <xf numFmtId="0" fontId="12" fillId="18" borderId="7" xfId="25" applyFont="1" applyFill="1" applyBorder="1" applyAlignment="1">
      <alignment horizontal="center" vertical="top"/>
    </xf>
    <xf numFmtId="187" fontId="12" fillId="2" borderId="5" xfId="25" applyNumberFormat="1" applyFont="1" applyFill="1" applyBorder="1" applyAlignment="1">
      <alignment horizontal="left" vertical="top"/>
    </xf>
    <xf numFmtId="0" fontId="12" fillId="18" borderId="3" xfId="25" applyFont="1" applyFill="1" applyBorder="1" applyAlignment="1">
      <alignment horizontal="left" vertical="top"/>
    </xf>
    <xf numFmtId="0" fontId="9" fillId="0" borderId="87" xfId="25" applyFont="1" applyBorder="1" applyAlignment="1">
      <alignment horizontal="left" vertical="top" wrapText="1"/>
    </xf>
    <xf numFmtId="0" fontId="28" fillId="0" borderId="88" xfId="25" applyFont="1" applyBorder="1" applyAlignment="1">
      <alignment horizontal="left" vertical="top" wrapText="1"/>
    </xf>
    <xf numFmtId="0" fontId="9" fillId="0" borderId="88" xfId="25" applyFont="1" applyBorder="1" applyAlignment="1">
      <alignment horizontal="left" vertical="top" wrapText="1"/>
    </xf>
    <xf numFmtId="3" fontId="12" fillId="0" borderId="88" xfId="25" applyNumberFormat="1" applyFont="1" applyBorder="1" applyAlignment="1">
      <alignment horizontal="left" vertical="top"/>
    </xf>
    <xf numFmtId="0" fontId="12" fillId="0" borderId="88" xfId="25" applyFont="1" applyBorder="1" applyAlignment="1">
      <alignment horizontal="left" vertical="top"/>
    </xf>
    <xf numFmtId="3" fontId="12" fillId="0" borderId="89" xfId="25" applyNumberFormat="1" applyFont="1" applyBorder="1" applyAlignment="1">
      <alignment horizontal="left" vertical="top"/>
    </xf>
    <xf numFmtId="3" fontId="12" fillId="0" borderId="16" xfId="25" applyNumberFormat="1" applyFont="1" applyBorder="1" applyAlignment="1">
      <alignment horizontal="left" vertical="top"/>
    </xf>
    <xf numFmtId="0" fontId="12" fillId="0" borderId="10" xfId="25" applyFont="1" applyBorder="1" applyAlignment="1">
      <alignment horizontal="left" vertical="top"/>
    </xf>
    <xf numFmtId="0" fontId="12" fillId="0" borderId="16" xfId="25" applyFont="1" applyBorder="1" applyAlignment="1">
      <alignment horizontal="left" vertical="top"/>
    </xf>
    <xf numFmtId="0" fontId="12" fillId="0" borderId="87" xfId="25" applyFont="1" applyBorder="1" applyAlignment="1">
      <alignment horizontal="left" vertical="top"/>
    </xf>
    <xf numFmtId="0" fontId="12" fillId="18" borderId="87" xfId="25" applyFont="1" applyFill="1" applyBorder="1" applyAlignment="1">
      <alignment horizontal="left" vertical="top"/>
    </xf>
    <xf numFmtId="0" fontId="12" fillId="18" borderId="2" xfId="25" applyFont="1" applyFill="1" applyBorder="1" applyAlignment="1">
      <alignment horizontal="left" vertical="top"/>
    </xf>
    <xf numFmtId="0" fontId="12" fillId="0" borderId="89" xfId="25" applyFont="1" applyBorder="1" applyAlignment="1">
      <alignment horizontal="left" vertical="top"/>
    </xf>
    <xf numFmtId="187" fontId="12" fillId="2" borderId="91" xfId="25" applyNumberFormat="1" applyFont="1" applyFill="1" applyBorder="1" applyAlignment="1">
      <alignment horizontal="left" vertical="top"/>
    </xf>
    <xf numFmtId="0" fontId="12" fillId="0" borderId="90" xfId="25" applyFont="1" applyBorder="1" applyAlignment="1">
      <alignment horizontal="left" vertical="top"/>
    </xf>
    <xf numFmtId="0" fontId="12" fillId="0" borderId="90" xfId="25" applyFont="1" applyBorder="1" applyAlignment="1">
      <alignment horizontal="left" vertical="top" wrapText="1"/>
    </xf>
    <xf numFmtId="0" fontId="28" fillId="0" borderId="8" xfId="25" applyFont="1" applyBorder="1" applyAlignment="1">
      <alignment horizontal="left" vertical="top" wrapText="1"/>
    </xf>
    <xf numFmtId="0" fontId="9" fillId="0" borderId="8" xfId="25" applyFont="1" applyBorder="1" applyAlignment="1">
      <alignment horizontal="left" vertical="top" wrapText="1"/>
    </xf>
    <xf numFmtId="0" fontId="73" fillId="0" borderId="8" xfId="25" applyFont="1" applyBorder="1" applyAlignment="1">
      <alignment horizontal="left" vertical="top" wrapText="1"/>
    </xf>
    <xf numFmtId="0" fontId="55" fillId="0" borderId="0" xfId="0" applyFont="1" applyAlignment="1">
      <alignment vertical="top" wrapText="1"/>
    </xf>
    <xf numFmtId="0" fontId="0" fillId="0" borderId="94" xfId="0" applyBorder="1" applyAlignment="1">
      <alignment horizontal="left" vertical="top"/>
    </xf>
    <xf numFmtId="0" fontId="0" fillId="0" borderId="51" xfId="25" applyFont="1" applyBorder="1" applyAlignment="1">
      <alignment horizontal="left" vertical="top"/>
    </xf>
    <xf numFmtId="0" fontId="12" fillId="18" borderId="8" xfId="25" applyFont="1" applyFill="1" applyBorder="1" applyAlignment="1">
      <alignment horizontal="left" vertical="top"/>
    </xf>
    <xf numFmtId="0" fontId="12" fillId="2" borderId="9" xfId="25" applyFont="1" applyFill="1" applyBorder="1" applyAlignment="1">
      <alignment horizontal="left"/>
    </xf>
    <xf numFmtId="0" fontId="12" fillId="0" borderId="11" xfId="25" applyFont="1" applyBorder="1" applyAlignment="1">
      <alignment horizontal="left"/>
    </xf>
    <xf numFmtId="190" fontId="12" fillId="2" borderId="8" xfId="25" applyNumberFormat="1" applyFont="1" applyFill="1" applyBorder="1" applyAlignment="1">
      <alignment horizontal="left"/>
    </xf>
    <xf numFmtId="186" fontId="12" fillId="0" borderId="9" xfId="25" applyNumberFormat="1" applyFont="1" applyBorder="1" applyAlignment="1">
      <alignment horizontal="center"/>
    </xf>
    <xf numFmtId="191" fontId="12" fillId="0" borderId="9" xfId="25" applyNumberFormat="1" applyFont="1" applyBorder="1" applyAlignment="1">
      <alignment horizontal="left" vertical="top"/>
    </xf>
    <xf numFmtId="0" fontId="12" fillId="0" borderId="9" xfId="25" applyFont="1" applyBorder="1" applyAlignment="1">
      <alignment horizontal="left" vertical="top"/>
    </xf>
    <xf numFmtId="0" fontId="73" fillId="0" borderId="5" xfId="25" applyFont="1" applyBorder="1" applyAlignment="1">
      <alignment horizontal="left" vertical="top" wrapText="1"/>
    </xf>
    <xf numFmtId="0" fontId="12" fillId="0" borderId="0" xfId="25" applyFont="1" applyAlignment="1">
      <alignment horizontal="left" vertical="top"/>
    </xf>
    <xf numFmtId="3" fontId="12" fillId="0" borderId="0" xfId="25" applyNumberFormat="1" applyFont="1" applyAlignment="1">
      <alignment horizontal="left" vertical="top"/>
    </xf>
    <xf numFmtId="0" fontId="12" fillId="18" borderId="5" xfId="25" applyFont="1" applyFill="1" applyBorder="1" applyAlignment="1">
      <alignment horizontal="left" vertical="top"/>
    </xf>
    <xf numFmtId="0" fontId="12" fillId="18" borderId="4" xfId="25" applyFont="1" applyFill="1" applyBorder="1" applyAlignment="1">
      <alignment horizontal="left" vertical="top"/>
    </xf>
    <xf numFmtId="0" fontId="12" fillId="2" borderId="7" xfId="25" applyFont="1" applyFill="1" applyBorder="1" applyAlignment="1">
      <alignment horizontal="left"/>
    </xf>
    <xf numFmtId="186" fontId="12" fillId="0" borderId="7" xfId="25" applyNumberFormat="1" applyFont="1" applyBorder="1" applyAlignment="1">
      <alignment horizontal="center"/>
    </xf>
    <xf numFmtId="0" fontId="0" fillId="0" borderId="61" xfId="0" applyBorder="1" applyAlignment="1">
      <alignment horizontal="left" vertical="top"/>
    </xf>
    <xf numFmtId="0" fontId="0" fillId="0" borderId="53" xfId="25" applyFont="1" applyBorder="1" applyAlignment="1">
      <alignment horizontal="left" vertical="top"/>
    </xf>
    <xf numFmtId="188" fontId="12" fillId="2" borderId="8" xfId="25" applyNumberFormat="1" applyFont="1" applyFill="1" applyBorder="1" applyAlignment="1">
      <alignment horizontal="left"/>
    </xf>
    <xf numFmtId="3" fontId="12" fillId="0" borderId="8" xfId="25" applyNumberFormat="1" applyFont="1" applyBorder="1" applyAlignment="1">
      <alignment horizontal="left" vertical="top"/>
    </xf>
    <xf numFmtId="189" fontId="12" fillId="2" borderId="8" xfId="25" applyNumberFormat="1" applyFont="1" applyFill="1" applyBorder="1" applyAlignment="1">
      <alignment horizontal="left"/>
    </xf>
    <xf numFmtId="0" fontId="0" fillId="2" borderId="0" xfId="0" applyFill="1" applyAlignment="1">
      <alignment horizontal="right" vertical="center"/>
    </xf>
    <xf numFmtId="0" fontId="9" fillId="0" borderId="3" xfId="0" applyFont="1" applyFill="1" applyBorder="1" applyAlignment="1">
      <alignment horizontal="center" vertical="top" wrapText="1"/>
    </xf>
    <xf numFmtId="0" fontId="9" fillId="0" borderId="8" xfId="0" applyFont="1" applyFill="1" applyBorder="1" applyAlignment="1">
      <alignment horizontal="center" vertical="top" wrapText="1"/>
    </xf>
    <xf numFmtId="0" fontId="9" fillId="0" borderId="11" xfId="0" applyFont="1" applyFill="1" applyBorder="1" applyAlignment="1">
      <alignment horizontal="center" vertical="top" wrapText="1"/>
    </xf>
    <xf numFmtId="0" fontId="18" fillId="10" borderId="11" xfId="8" applyFill="1" applyBorder="1" applyAlignment="1">
      <alignment horizontal="left" vertical="center" wrapText="1"/>
    </xf>
    <xf numFmtId="192" fontId="18" fillId="0" borderId="2" xfId="8" applyNumberFormat="1" applyBorder="1" applyAlignment="1">
      <alignment horizontal="center" vertical="top" wrapText="1"/>
    </xf>
    <xf numFmtId="0" fontId="13" fillId="0" borderId="2" xfId="0" applyFont="1" applyBorder="1" applyAlignment="1">
      <alignment horizontal="left" wrapText="1"/>
    </xf>
    <xf numFmtId="0" fontId="18" fillId="18" borderId="4" xfId="8" applyFill="1" applyBorder="1" applyAlignment="1">
      <alignment horizontal="left" vertical="top" wrapText="1"/>
    </xf>
  </cellXfs>
  <cellStyles count="26">
    <cellStyle name="Input 2" xfId="21" xr:uid="{D252134E-AA4C-4C5D-85F5-9AC941147DEA}"/>
    <cellStyle name="Input_InCellDropDown" xfId="22" xr:uid="{7369BCB6-C7D7-4809-BDA6-4E634C68357B}"/>
    <cellStyle name="Komma" xfId="1" builtinId="3"/>
    <cellStyle name="Komma 2" xfId="15" xr:uid="{00000000-0005-0000-0000-000001000000}"/>
    <cellStyle name="Link" xfId="8" builtinId="8"/>
    <cellStyle name="Link 2" xfId="7" xr:uid="{00000000-0005-0000-0000-000003000000}"/>
    <cellStyle name="Prozent" xfId="3" builtinId="5"/>
    <cellStyle name="Prozent 2" xfId="9" xr:uid="{00000000-0005-0000-0000-000005000000}"/>
    <cellStyle name="Prozent 3" xfId="11" xr:uid="{00000000-0005-0000-0000-000006000000}"/>
    <cellStyle name="Standard" xfId="0" builtinId="0"/>
    <cellStyle name="Standard 2" xfId="4" xr:uid="{00000000-0005-0000-0000-000008000000}"/>
    <cellStyle name="Standard 2 2" xfId="6" xr:uid="{00000000-0005-0000-0000-000009000000}"/>
    <cellStyle name="Standard 2 3" xfId="14" xr:uid="{00000000-0005-0000-0000-00000A000000}"/>
    <cellStyle name="Standard 2 4" xfId="18" xr:uid="{A96E02AD-2A8F-4549-91E6-C752C06A7DE4}"/>
    <cellStyle name="Standard 2 5" xfId="20" xr:uid="{6598587E-B0CB-4852-B8BA-0470BA484E70}"/>
    <cellStyle name="Standard 2 5 2" xfId="25" xr:uid="{2C797C39-D076-42CD-A03B-327CA38B4776}"/>
    <cellStyle name="Standard 3" xfId="10" xr:uid="{00000000-0005-0000-0000-00000B000000}"/>
    <cellStyle name="Standard 4" xfId="12" xr:uid="{00000000-0005-0000-0000-00000C000000}"/>
    <cellStyle name="Standard 5" xfId="13" xr:uid="{00000000-0005-0000-0000-00000D000000}"/>
    <cellStyle name="Standard 6" xfId="16" xr:uid="{AF28BAD6-F74B-4066-B24F-FE9CBF753EAA}"/>
    <cellStyle name="Standard 6 2" xfId="17" xr:uid="{AC3D071B-9BB4-41A0-A957-759B096D8867}"/>
    <cellStyle name="Standard 6 3" xfId="19" xr:uid="{C7CB47E6-4D74-4A6A-8493-3CF77A3A79DB}"/>
    <cellStyle name="Standard 6 3 2" xfId="24" xr:uid="{CB79F5BB-956C-4C6C-BBC6-3D671ABED80D}"/>
    <cellStyle name="Standard 7" xfId="23" xr:uid="{66EAECB0-91E3-4AD4-8C40-030D6A182559}"/>
    <cellStyle name="Währung" xfId="2" builtinId="4"/>
    <cellStyle name="Währung 2" xfId="5" xr:uid="{00000000-0005-0000-0000-00000F000000}"/>
  </cellStyles>
  <dxfs count="16">
    <dxf>
      <fill>
        <patternFill>
          <bgColor rgb="FFFFFF00"/>
        </patternFill>
      </fill>
    </dxf>
    <dxf>
      <fill>
        <patternFill>
          <bgColor rgb="FFFF0000"/>
        </patternFill>
      </fill>
    </dxf>
    <dxf>
      <font>
        <b/>
        <i val="0"/>
        <color rgb="FFFF0000"/>
      </font>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theme="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colors>
    <mruColors>
      <color rgb="FFFF3300"/>
      <color rgb="FF58B2DA"/>
      <color rgb="FFF6EA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1"/>
        <c:ser>
          <c:idx val="0"/>
          <c:order val="0"/>
          <c:tx>
            <c:strRef>
              <c:f>'übersicht)'!$AR$84:$AR$87</c:f>
              <c:strCache>
                <c:ptCount val="4"/>
                <c:pt idx="0">
                  <c:v>188</c:v>
                </c:pt>
                <c:pt idx="2">
                  <c:v>Eine sinnvollere Bewertung (anstelle des Energieausweises nach fiktiver Wohnfläche und Referenzstandort Potsdam) wäre nach Personenbelegung (übliche Nutzung), hier 2 Personen durch Verbrauch 30000kWh, sind 15000 kWh pro Person. Am besten wäre noch mit CO²</c:v>
                </c:pt>
              </c:strCache>
            </c:strRef>
          </c:tx>
          <c:invertIfNegative val="0"/>
          <c:dPt>
            <c:idx val="0"/>
            <c:invertIfNegative val="0"/>
            <c:bubble3D val="0"/>
            <c:spPr>
              <a:solidFill>
                <a:srgbClr val="FF0000">
                  <a:alpha val="85000"/>
                </a:srgbClr>
              </a:solidFill>
              <a:ln w="9525" cap="flat" cmpd="sng" algn="ctr">
                <a:solidFill>
                  <a:schemeClr val="tx1"/>
                </a:solidFill>
                <a:round/>
              </a:ln>
              <a:effectLst/>
            </c:spPr>
            <c:extLst>
              <c:ext xmlns:c16="http://schemas.microsoft.com/office/drawing/2014/chart" uri="{C3380CC4-5D6E-409C-BE32-E72D297353CC}">
                <c16:uniqueId val="{00000001-9594-46FE-B812-6E2A34E3637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'übersicht)'!$AR$88</c:f>
              <c:numCache>
                <c:formatCode>General</c:formatCode>
                <c:ptCount val="1"/>
              </c:numCache>
            </c:numRef>
          </c:cat>
          <c:val>
            <c:numRef>
              <c:f>'übersicht)'!$AR$84</c:f>
              <c:numCache>
                <c:formatCode>0</c:formatCode>
                <c:ptCount val="1"/>
                <c:pt idx="0">
                  <c:v>187.5</c:v>
                </c:pt>
              </c:numCache>
            </c:numRef>
          </c:val>
          <c:extLst>
            <c:ext xmlns:c16="http://schemas.microsoft.com/office/drawing/2014/chart" uri="{C3380CC4-5D6E-409C-BE32-E72D297353CC}">
              <c16:uniqueId val="{00000002-9594-46FE-B812-6E2A34E36379}"/>
            </c:ext>
          </c:extLst>
        </c:ser>
        <c:dLbls>
          <c:dLblPos val="inEnd"/>
          <c:showLegendKey val="0"/>
          <c:showVal val="1"/>
          <c:showCatName val="0"/>
          <c:showSerName val="0"/>
          <c:showPercent val="0"/>
          <c:showBubbleSize val="0"/>
        </c:dLbls>
        <c:gapWidth val="65"/>
        <c:axId val="1088054703"/>
        <c:axId val="1088053455"/>
      </c:barChart>
      <c:catAx>
        <c:axId val="1088054703"/>
        <c:scaling>
          <c:orientation val="minMax"/>
        </c:scaling>
        <c:delete val="1"/>
        <c:axPos val="l"/>
        <c:numFmt formatCode="General" sourceLinked="1"/>
        <c:majorTickMark val="none"/>
        <c:minorTickMark val="none"/>
        <c:tickLblPos val="nextTo"/>
        <c:crossAx val="1088053455"/>
        <c:crosses val="autoZero"/>
        <c:auto val="1"/>
        <c:lblAlgn val="ctr"/>
        <c:lblOffset val="100"/>
        <c:noMultiLvlLbl val="0"/>
      </c:catAx>
      <c:valAx>
        <c:axId val="1088053455"/>
        <c:scaling>
          <c:orientation val="minMax"/>
          <c:max val="250"/>
          <c:min val="0"/>
        </c:scaling>
        <c:delete val="1"/>
        <c:axPos val="b"/>
        <c:numFmt formatCode="0" sourceLinked="1"/>
        <c:majorTickMark val="none"/>
        <c:minorTickMark val="none"/>
        <c:tickLblPos val="nextTo"/>
        <c:crossAx val="108805470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9.png"/><Relationship Id="rId18" Type="http://schemas.openxmlformats.org/officeDocument/2006/relationships/image" Target="../media/image13.png"/><Relationship Id="rId3" Type="http://schemas.openxmlformats.org/officeDocument/2006/relationships/hyperlink" Target="https://www.stromspiegel.de/fileadmin/ssi/stromspiegel/Broschuere/stromspiegel-2021.pdf" TargetMode="External"/><Relationship Id="rId7" Type="http://schemas.openxmlformats.org/officeDocument/2006/relationships/image" Target="../media/image4.png"/><Relationship Id="rId12" Type="http://schemas.openxmlformats.org/officeDocument/2006/relationships/image" Target="../media/image8.png"/><Relationship Id="rId17" Type="http://schemas.microsoft.com/office/2017/06/relationships/model3d" Target="../media/model3d1.glb"/><Relationship Id="rId2" Type="http://schemas.openxmlformats.org/officeDocument/2006/relationships/image" Target="../media/image1.png"/><Relationship Id="rId16" Type="http://schemas.openxmlformats.org/officeDocument/2006/relationships/image" Target="../media/image12.png"/><Relationship Id="rId20" Type="http://schemas.openxmlformats.org/officeDocument/2006/relationships/image" Target="../media/image14.png"/><Relationship Id="rId1" Type="http://schemas.openxmlformats.org/officeDocument/2006/relationships/hyperlink" Target="https://www.verbraucherzentrale-rlp.de/sites/default/files/2017-11/Einleger_Kostenvergleich_Heizungen%2024_08_2017_0.pdf" TargetMode="External"/><Relationship Id="rId6" Type="http://schemas.openxmlformats.org/officeDocument/2006/relationships/image" Target="../media/image3.png"/><Relationship Id="rId11" Type="http://schemas.openxmlformats.org/officeDocument/2006/relationships/image" Target="../media/image7.png"/><Relationship Id="rId5" Type="http://schemas.openxmlformats.org/officeDocument/2006/relationships/hyperlink" Target="https://www.co2online.de/fileadmin/hs/heizspiegel/heizspiegel-2020/heizspiegel-2020.pdf" TargetMode="External"/><Relationship Id="rId15" Type="http://schemas.openxmlformats.org/officeDocument/2006/relationships/image" Target="../media/image11.png"/><Relationship Id="rId10" Type="http://schemas.openxmlformats.org/officeDocument/2006/relationships/image" Target="../media/image6.png"/><Relationship Id="rId19" Type="http://schemas.microsoft.com/office/2017/06/relationships/model3d" Target="../media/model3d2.glb"/><Relationship Id="rId4" Type="http://schemas.openxmlformats.org/officeDocument/2006/relationships/image" Target="../media/image2.png"/><Relationship Id="rId9" Type="http://schemas.openxmlformats.org/officeDocument/2006/relationships/chart" Target="../charts/chart1.xml"/><Relationship Id="rId14" Type="http://schemas.openxmlformats.org/officeDocument/2006/relationships/image" Target="../media/image10.png"/></Relationships>
</file>

<file path=xl/drawings/_rels/drawing2.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7.png"/><Relationship Id="rId18" Type="http://schemas.openxmlformats.org/officeDocument/2006/relationships/image" Target="../media/image32.png"/><Relationship Id="rId3" Type="http://schemas.openxmlformats.org/officeDocument/2006/relationships/image" Target="../media/image17.png"/><Relationship Id="rId7" Type="http://schemas.openxmlformats.org/officeDocument/2006/relationships/image" Target="../media/image21.png"/><Relationship Id="rId12" Type="http://schemas.openxmlformats.org/officeDocument/2006/relationships/image" Target="../media/image26.png"/><Relationship Id="rId17" Type="http://schemas.openxmlformats.org/officeDocument/2006/relationships/image" Target="../media/image31.png"/><Relationship Id="rId2" Type="http://schemas.openxmlformats.org/officeDocument/2006/relationships/image" Target="../media/image16.png"/><Relationship Id="rId16" Type="http://schemas.openxmlformats.org/officeDocument/2006/relationships/image" Target="../media/image30.png"/><Relationship Id="rId20" Type="http://schemas.openxmlformats.org/officeDocument/2006/relationships/image" Target="../media/image34.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image" Target="../media/image19.png"/><Relationship Id="rId15" Type="http://schemas.openxmlformats.org/officeDocument/2006/relationships/image" Target="../media/image29.png"/><Relationship Id="rId10" Type="http://schemas.openxmlformats.org/officeDocument/2006/relationships/image" Target="../media/image24.png"/><Relationship Id="rId19" Type="http://schemas.openxmlformats.org/officeDocument/2006/relationships/image" Target="../media/image33.png"/><Relationship Id="rId4" Type="http://schemas.openxmlformats.org/officeDocument/2006/relationships/image" Target="../media/image18.png"/><Relationship Id="rId9" Type="http://schemas.openxmlformats.org/officeDocument/2006/relationships/image" Target="../media/image23.png"/><Relationship Id="rId14" Type="http://schemas.openxmlformats.org/officeDocument/2006/relationships/image" Target="../media/image28.png"/></Relationships>
</file>

<file path=xl/drawings/_rels/drawing3.xml.rels><?xml version="1.0" encoding="UTF-8" standalone="yes"?>
<Relationships xmlns="http://schemas.openxmlformats.org/package/2006/relationships"><Relationship Id="rId3" Type="http://schemas.openxmlformats.org/officeDocument/2006/relationships/hyperlink" Target="https://www.ifbhh.de/programme/privatkunden/eigenheim-modernisieren/energetisch-modernisieren-privat/erneuerbare-waerme" TargetMode="External"/><Relationship Id="rId2" Type="http://schemas.openxmlformats.org/officeDocument/2006/relationships/image" Target="../media/image35.png"/><Relationship Id="rId1" Type="http://schemas.openxmlformats.org/officeDocument/2006/relationships/hyperlink" Target="https://www.bafa.de/DE/Energie/Effiziente_Gebaeude/effiziente_gebaeude_node.html" TargetMode="External"/><Relationship Id="rId6" Type="http://schemas.openxmlformats.org/officeDocument/2006/relationships/image" Target="../media/image37.jpeg"/><Relationship Id="rId5" Type="http://schemas.openxmlformats.org/officeDocument/2006/relationships/hyperlink" Target="https://www.verbraucherzentrale.nrw/wissen/energie/erneuerbare-energien/heizungsfoerderung-fuer-bestandsgebaeude-heizen-mit-erneuerbaren-10773" TargetMode="External"/><Relationship Id="rId4" Type="http://schemas.openxmlformats.org/officeDocument/2006/relationships/image" Target="../media/image36.png"/></Relationships>
</file>

<file path=xl/drawings/_rels/drawing4.xml.rels><?xml version="1.0" encoding="UTF-8" standalone="yes"?>
<Relationships xmlns="http://schemas.openxmlformats.org/package/2006/relationships"><Relationship Id="rId3" Type="http://schemas.openxmlformats.org/officeDocument/2006/relationships/image" Target="../media/image40.jpeg"/><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46</xdr:col>
      <xdr:colOff>0</xdr:colOff>
      <xdr:row>91</xdr:row>
      <xdr:rowOff>348724</xdr:rowOff>
    </xdr:from>
    <xdr:to>
      <xdr:col>51</xdr:col>
      <xdr:colOff>351171</xdr:colOff>
      <xdr:row>101</xdr:row>
      <xdr:rowOff>367770</xdr:rowOff>
    </xdr:to>
    <xdr:pic>
      <xdr:nvPicPr>
        <xdr:cNvPr id="2" name="Grafik 1">
          <a:hlinkClick xmlns:r="http://schemas.openxmlformats.org/officeDocument/2006/relationships" r:id="rId1"/>
          <a:extLst>
            <a:ext uri="{FF2B5EF4-FFF2-40B4-BE49-F238E27FC236}">
              <a16:creationId xmlns:a16="http://schemas.microsoft.com/office/drawing/2014/main" id="{E1E2C856-0CE2-4EB0-B3CD-7EE98A41E309}"/>
            </a:ext>
          </a:extLst>
        </xdr:cNvPr>
        <xdr:cNvPicPr>
          <a:picLocks noChangeAspect="1"/>
        </xdr:cNvPicPr>
      </xdr:nvPicPr>
      <xdr:blipFill>
        <a:blip xmlns:r="http://schemas.openxmlformats.org/officeDocument/2006/relationships" r:embed="rId2"/>
        <a:stretch>
          <a:fillRect/>
        </a:stretch>
      </xdr:blipFill>
      <xdr:spPr>
        <a:xfrm>
          <a:off x="38252400" y="27174934"/>
          <a:ext cx="5060331" cy="7227566"/>
        </a:xfrm>
        <a:prstGeom prst="rect">
          <a:avLst/>
        </a:prstGeom>
      </xdr:spPr>
    </xdr:pic>
    <xdr:clientData/>
  </xdr:twoCellAnchor>
  <xdr:twoCellAnchor editAs="oneCell">
    <xdr:from>
      <xdr:col>52</xdr:col>
      <xdr:colOff>13607</xdr:colOff>
      <xdr:row>97</xdr:row>
      <xdr:rowOff>272142</xdr:rowOff>
    </xdr:from>
    <xdr:to>
      <xdr:col>64</xdr:col>
      <xdr:colOff>304511</xdr:colOff>
      <xdr:row>107</xdr:row>
      <xdr:rowOff>368189</xdr:rowOff>
    </xdr:to>
    <xdr:pic>
      <xdr:nvPicPr>
        <xdr:cNvPr id="3" name="Grafik 2">
          <a:hlinkClick xmlns:r="http://schemas.openxmlformats.org/officeDocument/2006/relationships" r:id="rId3"/>
          <a:extLst>
            <a:ext uri="{FF2B5EF4-FFF2-40B4-BE49-F238E27FC236}">
              <a16:creationId xmlns:a16="http://schemas.microsoft.com/office/drawing/2014/main" id="{C54591F4-6339-487A-A12C-D30E5BADB5C6}"/>
            </a:ext>
          </a:extLst>
        </xdr:cNvPr>
        <xdr:cNvPicPr>
          <a:picLocks noChangeAspect="1"/>
        </xdr:cNvPicPr>
      </xdr:nvPicPr>
      <xdr:blipFill>
        <a:blip xmlns:r="http://schemas.openxmlformats.org/officeDocument/2006/relationships" r:embed="rId4"/>
        <a:stretch>
          <a:fillRect/>
        </a:stretch>
      </xdr:blipFill>
      <xdr:spPr>
        <a:xfrm>
          <a:off x="43767647" y="31167432"/>
          <a:ext cx="9800664" cy="7624607"/>
        </a:xfrm>
        <a:prstGeom prst="rect">
          <a:avLst/>
        </a:prstGeom>
      </xdr:spPr>
    </xdr:pic>
    <xdr:clientData/>
  </xdr:twoCellAnchor>
  <xdr:twoCellAnchor editAs="oneCell">
    <xdr:from>
      <xdr:col>52</xdr:col>
      <xdr:colOff>13608</xdr:colOff>
      <xdr:row>82</xdr:row>
      <xdr:rowOff>68035</xdr:rowOff>
    </xdr:from>
    <xdr:to>
      <xdr:col>64</xdr:col>
      <xdr:colOff>571848</xdr:colOff>
      <xdr:row>93</xdr:row>
      <xdr:rowOff>249722</xdr:rowOff>
    </xdr:to>
    <xdr:pic>
      <xdr:nvPicPr>
        <xdr:cNvPr id="4" name="Grafik 3">
          <a:hlinkClick xmlns:r="http://schemas.openxmlformats.org/officeDocument/2006/relationships" r:id="rId5"/>
          <a:extLst>
            <a:ext uri="{FF2B5EF4-FFF2-40B4-BE49-F238E27FC236}">
              <a16:creationId xmlns:a16="http://schemas.microsoft.com/office/drawing/2014/main" id="{38BF96BA-AE26-467E-94AF-DC12F81CC44B}"/>
            </a:ext>
          </a:extLst>
        </xdr:cNvPr>
        <xdr:cNvPicPr>
          <a:picLocks noChangeAspect="1"/>
        </xdr:cNvPicPr>
      </xdr:nvPicPr>
      <xdr:blipFill>
        <a:blip xmlns:r="http://schemas.openxmlformats.org/officeDocument/2006/relationships" r:embed="rId6"/>
        <a:stretch>
          <a:fillRect/>
        </a:stretch>
      </xdr:blipFill>
      <xdr:spPr>
        <a:xfrm>
          <a:off x="43767648" y="20078155"/>
          <a:ext cx="10068000" cy="8361757"/>
        </a:xfrm>
        <a:prstGeom prst="rect">
          <a:avLst/>
        </a:prstGeom>
      </xdr:spPr>
    </xdr:pic>
    <xdr:clientData/>
  </xdr:twoCellAnchor>
  <xdr:twoCellAnchor>
    <xdr:from>
      <xdr:col>49</xdr:col>
      <xdr:colOff>758190</xdr:colOff>
      <xdr:row>82</xdr:row>
      <xdr:rowOff>163830</xdr:rowOff>
    </xdr:from>
    <xdr:to>
      <xdr:col>52</xdr:col>
      <xdr:colOff>27215</xdr:colOff>
      <xdr:row>83</xdr:row>
      <xdr:rowOff>258536</xdr:rowOff>
    </xdr:to>
    <xdr:cxnSp macro="">
      <xdr:nvCxnSpPr>
        <xdr:cNvPr id="5" name="Gerade Verbindung mit Pfeil 4">
          <a:extLst>
            <a:ext uri="{FF2B5EF4-FFF2-40B4-BE49-F238E27FC236}">
              <a16:creationId xmlns:a16="http://schemas.microsoft.com/office/drawing/2014/main" id="{52CF8858-224A-49D1-8463-6EDC6977A4E2}"/>
            </a:ext>
          </a:extLst>
        </xdr:cNvPr>
        <xdr:cNvCxnSpPr/>
      </xdr:nvCxnSpPr>
      <xdr:spPr>
        <a:xfrm>
          <a:off x="41761410" y="20173950"/>
          <a:ext cx="2019845" cy="601436"/>
        </a:xfrm>
        <a:prstGeom prst="straightConnector1">
          <a:avLst/>
        </a:prstGeom>
        <a:ln w="38100" cap="flat" cmpd="sng" algn="ctr">
          <a:solidFill>
            <a:schemeClr val="dk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44</xdr:col>
      <xdr:colOff>86139</xdr:colOff>
      <xdr:row>80</xdr:row>
      <xdr:rowOff>109331</xdr:rowOff>
    </xdr:from>
    <xdr:to>
      <xdr:col>46</xdr:col>
      <xdr:colOff>742950</xdr:colOff>
      <xdr:row>83</xdr:row>
      <xdr:rowOff>68580</xdr:rowOff>
    </xdr:to>
    <xdr:cxnSp macro="">
      <xdr:nvCxnSpPr>
        <xdr:cNvPr id="6" name="Gerade Verbindung mit Pfeil 5">
          <a:extLst>
            <a:ext uri="{FF2B5EF4-FFF2-40B4-BE49-F238E27FC236}">
              <a16:creationId xmlns:a16="http://schemas.microsoft.com/office/drawing/2014/main" id="{DC8C1FAC-79F7-4BB0-B2F8-364593895B82}"/>
            </a:ext>
          </a:extLst>
        </xdr:cNvPr>
        <xdr:cNvCxnSpPr/>
      </xdr:nvCxnSpPr>
      <xdr:spPr>
        <a:xfrm>
          <a:off x="36753579" y="19105991"/>
          <a:ext cx="2241771" cy="1479439"/>
        </a:xfrm>
        <a:prstGeom prst="straightConnector1">
          <a:avLst/>
        </a:prstGeom>
        <a:ln w="38100" cap="flat" cmpd="sng" algn="ctr">
          <a:solidFill>
            <a:schemeClr val="dk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42</xdr:col>
      <xdr:colOff>745436</xdr:colOff>
      <xdr:row>82</xdr:row>
      <xdr:rowOff>240161</xdr:rowOff>
    </xdr:from>
    <xdr:to>
      <xdr:col>45</xdr:col>
      <xdr:colOff>684188</xdr:colOff>
      <xdr:row>84</xdr:row>
      <xdr:rowOff>411442</xdr:rowOff>
    </xdr:to>
    <xdr:pic>
      <xdr:nvPicPr>
        <xdr:cNvPr id="7" name="Grafik 6">
          <a:extLst>
            <a:ext uri="{FF2B5EF4-FFF2-40B4-BE49-F238E27FC236}">
              <a16:creationId xmlns:a16="http://schemas.microsoft.com/office/drawing/2014/main" id="{C193EDD5-02D8-40A9-B5B0-03650CAC1ABC}"/>
            </a:ext>
          </a:extLst>
        </xdr:cNvPr>
        <xdr:cNvPicPr>
          <a:picLocks noChangeAspect="1"/>
        </xdr:cNvPicPr>
      </xdr:nvPicPr>
      <xdr:blipFill rotWithShape="1">
        <a:blip xmlns:r="http://schemas.openxmlformats.org/officeDocument/2006/relationships" r:embed="rId7"/>
        <a:srcRect t="3922"/>
        <a:stretch/>
      </xdr:blipFill>
      <xdr:spPr>
        <a:xfrm>
          <a:off x="35740286" y="20250281"/>
          <a:ext cx="2403822" cy="1192361"/>
        </a:xfrm>
        <a:prstGeom prst="rect">
          <a:avLst/>
        </a:prstGeom>
      </xdr:spPr>
    </xdr:pic>
    <xdr:clientData/>
  </xdr:twoCellAnchor>
  <xdr:twoCellAnchor editAs="oneCell">
    <xdr:from>
      <xdr:col>2</xdr:col>
      <xdr:colOff>13253</xdr:colOff>
      <xdr:row>85</xdr:row>
      <xdr:rowOff>278296</xdr:rowOff>
    </xdr:from>
    <xdr:to>
      <xdr:col>2</xdr:col>
      <xdr:colOff>1160891</xdr:colOff>
      <xdr:row>85</xdr:row>
      <xdr:rowOff>762138</xdr:rowOff>
    </xdr:to>
    <xdr:pic>
      <xdr:nvPicPr>
        <xdr:cNvPr id="8" name="Grafik 7">
          <a:extLst>
            <a:ext uri="{FF2B5EF4-FFF2-40B4-BE49-F238E27FC236}">
              <a16:creationId xmlns:a16="http://schemas.microsoft.com/office/drawing/2014/main" id="{6EA81C98-EACE-450F-9E83-804B52505F87}"/>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58364" r="64566" b="33744"/>
        <a:stretch/>
      </xdr:blipFill>
      <xdr:spPr bwMode="auto">
        <a:xfrm>
          <a:off x="436163" y="22395346"/>
          <a:ext cx="1147638" cy="48384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16565</xdr:colOff>
      <xdr:row>86</xdr:row>
      <xdr:rowOff>327992</xdr:rowOff>
    </xdr:from>
    <xdr:to>
      <xdr:col>3</xdr:col>
      <xdr:colOff>20375</xdr:colOff>
      <xdr:row>86</xdr:row>
      <xdr:rowOff>818818</xdr:rowOff>
    </xdr:to>
    <xdr:pic>
      <xdr:nvPicPr>
        <xdr:cNvPr id="9" name="Grafik 8">
          <a:extLst>
            <a:ext uri="{FF2B5EF4-FFF2-40B4-BE49-F238E27FC236}">
              <a16:creationId xmlns:a16="http://schemas.microsoft.com/office/drawing/2014/main" id="{3507C931-7E2F-40AA-B8DF-41E2F1C43CCC}"/>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49952" r="62229" b="42108"/>
        <a:stretch/>
      </xdr:blipFill>
      <xdr:spPr bwMode="auto">
        <a:xfrm>
          <a:off x="439475" y="23348012"/>
          <a:ext cx="1200150" cy="490826"/>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19878</xdr:colOff>
      <xdr:row>93</xdr:row>
      <xdr:rowOff>172279</xdr:rowOff>
    </xdr:from>
    <xdr:to>
      <xdr:col>3</xdr:col>
      <xdr:colOff>160931</xdr:colOff>
      <xdr:row>94</xdr:row>
      <xdr:rowOff>18472</xdr:rowOff>
    </xdr:to>
    <xdr:pic>
      <xdr:nvPicPr>
        <xdr:cNvPr id="10" name="Grafik 9">
          <a:extLst>
            <a:ext uri="{FF2B5EF4-FFF2-40B4-BE49-F238E27FC236}">
              <a16:creationId xmlns:a16="http://schemas.microsoft.com/office/drawing/2014/main" id="{6352BC56-C073-40E7-A81B-5F019ABDA211}"/>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74952" r="59517" b="16683"/>
        <a:stretch/>
      </xdr:blipFill>
      <xdr:spPr bwMode="auto">
        <a:xfrm>
          <a:off x="442788" y="28354849"/>
          <a:ext cx="1337393" cy="524373"/>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26505</xdr:colOff>
      <xdr:row>95</xdr:row>
      <xdr:rowOff>178905</xdr:rowOff>
    </xdr:from>
    <xdr:to>
      <xdr:col>3</xdr:col>
      <xdr:colOff>265541</xdr:colOff>
      <xdr:row>95</xdr:row>
      <xdr:rowOff>666419</xdr:rowOff>
    </xdr:to>
    <xdr:pic>
      <xdr:nvPicPr>
        <xdr:cNvPr id="11" name="Grafik 10">
          <a:extLst>
            <a:ext uri="{FF2B5EF4-FFF2-40B4-BE49-F238E27FC236}">
              <a16:creationId xmlns:a16="http://schemas.microsoft.com/office/drawing/2014/main" id="{405A24C0-9E69-4997-8EE0-E1DB1A975092}"/>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83175" r="54375" b="8744"/>
        <a:stretch/>
      </xdr:blipFill>
      <xdr:spPr bwMode="auto">
        <a:xfrm>
          <a:off x="449415" y="29717835"/>
          <a:ext cx="1435376" cy="487514"/>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33130</xdr:colOff>
      <xdr:row>104</xdr:row>
      <xdr:rowOff>543339</xdr:rowOff>
    </xdr:from>
    <xdr:to>
      <xdr:col>3</xdr:col>
      <xdr:colOff>172774</xdr:colOff>
      <xdr:row>104</xdr:row>
      <xdr:rowOff>1011553</xdr:rowOff>
    </xdr:to>
    <xdr:pic>
      <xdr:nvPicPr>
        <xdr:cNvPr id="12" name="Grafik 11">
          <a:extLst>
            <a:ext uri="{FF2B5EF4-FFF2-40B4-BE49-F238E27FC236}">
              <a16:creationId xmlns:a16="http://schemas.microsoft.com/office/drawing/2014/main" id="{7F478CA1-2250-4886-B8A4-ADB83D32D47A}"/>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49645" r="7255" b="91777"/>
        <a:stretch/>
      </xdr:blipFill>
      <xdr:spPr bwMode="auto">
        <a:xfrm>
          <a:off x="456040" y="36509739"/>
          <a:ext cx="1335984" cy="468214"/>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19879</xdr:colOff>
      <xdr:row>100</xdr:row>
      <xdr:rowOff>182219</xdr:rowOff>
    </xdr:from>
    <xdr:to>
      <xdr:col>3</xdr:col>
      <xdr:colOff>144366</xdr:colOff>
      <xdr:row>100</xdr:row>
      <xdr:rowOff>608422</xdr:rowOff>
    </xdr:to>
    <xdr:pic>
      <xdr:nvPicPr>
        <xdr:cNvPr id="13" name="Grafik 12">
          <a:extLst>
            <a:ext uri="{FF2B5EF4-FFF2-40B4-BE49-F238E27FC236}">
              <a16:creationId xmlns:a16="http://schemas.microsoft.com/office/drawing/2014/main" id="{31C78EC8-0E69-4CBD-9615-AF54B198B2B4}"/>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48991" t="16919" r="7629" b="75283"/>
        <a:stretch/>
      </xdr:blipFill>
      <xdr:spPr bwMode="auto">
        <a:xfrm>
          <a:off x="442789" y="33576869"/>
          <a:ext cx="1320827" cy="426203"/>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26505</xdr:colOff>
      <xdr:row>99</xdr:row>
      <xdr:rowOff>96078</xdr:rowOff>
    </xdr:from>
    <xdr:to>
      <xdr:col>3</xdr:col>
      <xdr:colOff>19880</xdr:colOff>
      <xdr:row>99</xdr:row>
      <xdr:rowOff>526418</xdr:rowOff>
    </xdr:to>
    <xdr:pic>
      <xdr:nvPicPr>
        <xdr:cNvPr id="14" name="Grafik 13">
          <a:extLst>
            <a:ext uri="{FF2B5EF4-FFF2-40B4-BE49-F238E27FC236}">
              <a16:creationId xmlns:a16="http://schemas.microsoft.com/office/drawing/2014/main" id="{38121EDE-C285-43FB-8554-0974419009EF}"/>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49738" t="75141" r="10808" b="16683"/>
        <a:stretch/>
      </xdr:blipFill>
      <xdr:spPr bwMode="auto">
        <a:xfrm>
          <a:off x="449415" y="32846838"/>
          <a:ext cx="1189715" cy="43034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19380</xdr:colOff>
      <xdr:row>91</xdr:row>
      <xdr:rowOff>174878</xdr:rowOff>
    </xdr:from>
    <xdr:to>
      <xdr:col>3</xdr:col>
      <xdr:colOff>258416</xdr:colOff>
      <xdr:row>91</xdr:row>
      <xdr:rowOff>649057</xdr:rowOff>
    </xdr:to>
    <xdr:pic>
      <xdr:nvPicPr>
        <xdr:cNvPr id="15" name="Grafik 14">
          <a:extLst>
            <a:ext uri="{FF2B5EF4-FFF2-40B4-BE49-F238E27FC236}">
              <a16:creationId xmlns:a16="http://schemas.microsoft.com/office/drawing/2014/main" id="{83148643-B0BB-45CB-9C0B-BE9195FE0CC0}"/>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83175" r="54375" b="8744"/>
        <a:stretch/>
      </xdr:blipFill>
      <xdr:spPr bwMode="auto">
        <a:xfrm>
          <a:off x="442290" y="27001088"/>
          <a:ext cx="1435376" cy="47417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39757</xdr:colOff>
      <xdr:row>88</xdr:row>
      <xdr:rowOff>192156</xdr:rowOff>
    </xdr:from>
    <xdr:to>
      <xdr:col>3</xdr:col>
      <xdr:colOff>171781</xdr:colOff>
      <xdr:row>88</xdr:row>
      <xdr:rowOff>656560</xdr:rowOff>
    </xdr:to>
    <xdr:pic>
      <xdr:nvPicPr>
        <xdr:cNvPr id="16" name="Grafik 15">
          <a:extLst>
            <a:ext uri="{FF2B5EF4-FFF2-40B4-BE49-F238E27FC236}">
              <a16:creationId xmlns:a16="http://schemas.microsoft.com/office/drawing/2014/main" id="{7CC94DFA-35A9-4CAB-A603-34621E4A84A7}"/>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49645" r="7255" b="91777"/>
        <a:stretch/>
      </xdr:blipFill>
      <xdr:spPr bwMode="auto">
        <a:xfrm>
          <a:off x="462667" y="24618066"/>
          <a:ext cx="1328364" cy="464404"/>
        </a:xfrm>
        <a:prstGeom prst="rect">
          <a:avLst/>
        </a:prstGeom>
        <a:noFill/>
        <a:ln>
          <a:noFill/>
        </a:ln>
        <a:extLst>
          <a:ext uri="{53640926-AAD7-44D8-BBD7-CCE9431645EC}">
            <a14:shadowObscured xmlns:a14="http://schemas.microsoft.com/office/drawing/2010/main"/>
          </a:ext>
        </a:extLst>
      </xdr:spPr>
    </xdr:pic>
    <xdr:clientData/>
  </xdr:twoCellAnchor>
  <xdr:twoCellAnchor>
    <xdr:from>
      <xdr:col>42</xdr:col>
      <xdr:colOff>705676</xdr:colOff>
      <xdr:row>82</xdr:row>
      <xdr:rowOff>304799</xdr:rowOff>
    </xdr:from>
    <xdr:to>
      <xdr:col>45</xdr:col>
      <xdr:colOff>659294</xdr:colOff>
      <xdr:row>84</xdr:row>
      <xdr:rowOff>106017</xdr:rowOff>
    </xdr:to>
    <xdr:graphicFrame macro="">
      <xdr:nvGraphicFramePr>
        <xdr:cNvPr id="17" name="Diagramm 16">
          <a:extLst>
            <a:ext uri="{FF2B5EF4-FFF2-40B4-BE49-F238E27FC236}">
              <a16:creationId xmlns:a16="http://schemas.microsoft.com/office/drawing/2014/main" id="{BD22786D-4E49-4D27-BA6D-55D57E5CE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83821</xdr:colOff>
      <xdr:row>83</xdr:row>
      <xdr:rowOff>323850</xdr:rowOff>
    </xdr:from>
    <xdr:to>
      <xdr:col>43</xdr:col>
      <xdr:colOff>85725</xdr:colOff>
      <xdr:row>84</xdr:row>
      <xdr:rowOff>1066800</xdr:rowOff>
    </xdr:to>
    <xdr:cxnSp macro="">
      <xdr:nvCxnSpPr>
        <xdr:cNvPr id="18" name="Gerade Verbindung mit Pfeil 17">
          <a:extLst>
            <a:ext uri="{FF2B5EF4-FFF2-40B4-BE49-F238E27FC236}">
              <a16:creationId xmlns:a16="http://schemas.microsoft.com/office/drawing/2014/main" id="{3DF5D8C3-8777-4045-BD73-C5B501303DC7}"/>
            </a:ext>
          </a:extLst>
        </xdr:cNvPr>
        <xdr:cNvCxnSpPr/>
      </xdr:nvCxnSpPr>
      <xdr:spPr>
        <a:xfrm>
          <a:off x="35871151" y="20840700"/>
          <a:ext cx="1904" cy="1249680"/>
        </a:xfrm>
        <a:prstGeom prst="straightConnector1">
          <a:avLst/>
        </a:prstGeom>
        <a:ln w="38100" cap="flat" cmpd="sng" algn="ctr">
          <a:solidFill>
            <a:schemeClr val="dk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52</xdr:col>
      <xdr:colOff>40342</xdr:colOff>
      <xdr:row>31</xdr:row>
      <xdr:rowOff>140618</xdr:rowOff>
    </xdr:from>
    <xdr:to>
      <xdr:col>57</xdr:col>
      <xdr:colOff>685430</xdr:colOff>
      <xdr:row>38</xdr:row>
      <xdr:rowOff>66685</xdr:rowOff>
    </xdr:to>
    <xdr:pic>
      <xdr:nvPicPr>
        <xdr:cNvPr id="19" name="Grafik 18">
          <a:extLst>
            <a:ext uri="{FF2B5EF4-FFF2-40B4-BE49-F238E27FC236}">
              <a16:creationId xmlns:a16="http://schemas.microsoft.com/office/drawing/2014/main" id="{5F7ABEA4-44C9-485B-B562-4A8A293D965A}"/>
            </a:ext>
          </a:extLst>
        </xdr:cNvPr>
        <xdr:cNvPicPr>
          <a:picLocks noChangeAspect="1"/>
        </xdr:cNvPicPr>
      </xdr:nvPicPr>
      <xdr:blipFill>
        <a:blip xmlns:r="http://schemas.openxmlformats.org/officeDocument/2006/relationships" r:embed="rId10"/>
        <a:stretch>
          <a:fillRect/>
        </a:stretch>
      </xdr:blipFill>
      <xdr:spPr>
        <a:xfrm>
          <a:off x="43794382" y="7246268"/>
          <a:ext cx="4607488" cy="1385297"/>
        </a:xfrm>
        <a:prstGeom prst="rect">
          <a:avLst/>
        </a:prstGeom>
      </xdr:spPr>
    </xdr:pic>
    <xdr:clientData/>
  </xdr:twoCellAnchor>
  <xdr:twoCellAnchor editAs="oneCell">
    <xdr:from>
      <xdr:col>52</xdr:col>
      <xdr:colOff>94353</xdr:colOff>
      <xdr:row>40</xdr:row>
      <xdr:rowOff>139758</xdr:rowOff>
    </xdr:from>
    <xdr:to>
      <xdr:col>57</xdr:col>
      <xdr:colOff>770890</xdr:colOff>
      <xdr:row>42</xdr:row>
      <xdr:rowOff>190295</xdr:rowOff>
    </xdr:to>
    <xdr:pic>
      <xdr:nvPicPr>
        <xdr:cNvPr id="20" name="Grafik 19">
          <a:extLst>
            <a:ext uri="{FF2B5EF4-FFF2-40B4-BE49-F238E27FC236}">
              <a16:creationId xmlns:a16="http://schemas.microsoft.com/office/drawing/2014/main" id="{FAFD687A-37E8-4D85-B114-BA7318943F02}"/>
            </a:ext>
          </a:extLst>
        </xdr:cNvPr>
        <xdr:cNvPicPr>
          <a:picLocks noChangeAspect="1"/>
        </xdr:cNvPicPr>
      </xdr:nvPicPr>
      <xdr:blipFill>
        <a:blip xmlns:r="http://schemas.openxmlformats.org/officeDocument/2006/relationships" r:embed="rId11"/>
        <a:stretch>
          <a:fillRect/>
        </a:stretch>
      </xdr:blipFill>
      <xdr:spPr>
        <a:xfrm>
          <a:off x="43848393" y="9196128"/>
          <a:ext cx="4638937" cy="568697"/>
        </a:xfrm>
        <a:prstGeom prst="rect">
          <a:avLst/>
        </a:prstGeom>
      </xdr:spPr>
    </xdr:pic>
    <xdr:clientData/>
  </xdr:twoCellAnchor>
  <xdr:twoCellAnchor editAs="oneCell">
    <xdr:from>
      <xdr:col>10</xdr:col>
      <xdr:colOff>664030</xdr:colOff>
      <xdr:row>3</xdr:row>
      <xdr:rowOff>44295</xdr:rowOff>
    </xdr:from>
    <xdr:to>
      <xdr:col>18</xdr:col>
      <xdr:colOff>1208334</xdr:colOff>
      <xdr:row>22</xdr:row>
      <xdr:rowOff>200634</xdr:rowOff>
    </xdr:to>
    <xdr:pic>
      <xdr:nvPicPr>
        <xdr:cNvPr id="21" name="Grafik 20">
          <a:extLst>
            <a:ext uri="{FF2B5EF4-FFF2-40B4-BE49-F238E27FC236}">
              <a16:creationId xmlns:a16="http://schemas.microsoft.com/office/drawing/2014/main" id="{AD0D89D2-5D17-4F5E-97E2-7916082D1112}"/>
            </a:ext>
          </a:extLst>
        </xdr:cNvPr>
        <xdr:cNvPicPr>
          <a:picLocks noChangeAspect="1"/>
        </xdr:cNvPicPr>
      </xdr:nvPicPr>
      <xdr:blipFill>
        <a:blip xmlns:r="http://schemas.openxmlformats.org/officeDocument/2006/relationships" r:embed="rId12"/>
        <a:stretch>
          <a:fillRect/>
        </a:stretch>
      </xdr:blipFill>
      <xdr:spPr>
        <a:xfrm>
          <a:off x="9259390" y="589125"/>
          <a:ext cx="6129764" cy="4476879"/>
        </a:xfrm>
        <a:prstGeom prst="rect">
          <a:avLst/>
        </a:prstGeom>
      </xdr:spPr>
    </xdr:pic>
    <xdr:clientData/>
  </xdr:twoCellAnchor>
  <xdr:twoCellAnchor editAs="oneCell">
    <xdr:from>
      <xdr:col>19</xdr:col>
      <xdr:colOff>213870</xdr:colOff>
      <xdr:row>4</xdr:row>
      <xdr:rowOff>8497</xdr:rowOff>
    </xdr:from>
    <xdr:to>
      <xdr:col>24</xdr:col>
      <xdr:colOff>723220</xdr:colOff>
      <xdr:row>22</xdr:row>
      <xdr:rowOff>153938</xdr:rowOff>
    </xdr:to>
    <xdr:pic>
      <xdr:nvPicPr>
        <xdr:cNvPr id="22" name="Grafik 21">
          <a:extLst>
            <a:ext uri="{FF2B5EF4-FFF2-40B4-BE49-F238E27FC236}">
              <a16:creationId xmlns:a16="http://schemas.microsoft.com/office/drawing/2014/main" id="{09DF34AA-0870-44C9-97F5-779B5533F5F1}"/>
            </a:ext>
          </a:extLst>
        </xdr:cNvPr>
        <xdr:cNvPicPr>
          <a:picLocks noChangeAspect="1"/>
        </xdr:cNvPicPr>
      </xdr:nvPicPr>
      <xdr:blipFill>
        <a:blip xmlns:r="http://schemas.openxmlformats.org/officeDocument/2006/relationships" r:embed="rId13"/>
        <a:stretch>
          <a:fillRect/>
        </a:stretch>
      </xdr:blipFill>
      <xdr:spPr>
        <a:xfrm>
          <a:off x="15815820" y="709537"/>
          <a:ext cx="6018610" cy="4309771"/>
        </a:xfrm>
        <a:prstGeom prst="rect">
          <a:avLst/>
        </a:prstGeom>
      </xdr:spPr>
    </xdr:pic>
    <xdr:clientData/>
  </xdr:twoCellAnchor>
  <xdr:twoCellAnchor editAs="oneCell">
    <xdr:from>
      <xdr:col>36</xdr:col>
      <xdr:colOff>242654</xdr:colOff>
      <xdr:row>19</xdr:row>
      <xdr:rowOff>250129</xdr:rowOff>
    </xdr:from>
    <xdr:to>
      <xdr:col>44</xdr:col>
      <xdr:colOff>733279</xdr:colOff>
      <xdr:row>32</xdr:row>
      <xdr:rowOff>1685</xdr:rowOff>
    </xdr:to>
    <xdr:pic>
      <xdr:nvPicPr>
        <xdr:cNvPr id="23" name="Grafik 22">
          <a:extLst>
            <a:ext uri="{FF2B5EF4-FFF2-40B4-BE49-F238E27FC236}">
              <a16:creationId xmlns:a16="http://schemas.microsoft.com/office/drawing/2014/main" id="{D008DED7-71E2-41D4-974A-B52137006F97}"/>
            </a:ext>
          </a:extLst>
        </xdr:cNvPr>
        <xdr:cNvPicPr>
          <a:picLocks noChangeAspect="1"/>
        </xdr:cNvPicPr>
      </xdr:nvPicPr>
      <xdr:blipFill>
        <a:blip xmlns:r="http://schemas.openxmlformats.org/officeDocument/2006/relationships" r:embed="rId14"/>
        <a:stretch>
          <a:fillRect/>
        </a:stretch>
      </xdr:blipFill>
      <xdr:spPr>
        <a:xfrm>
          <a:off x="31366544" y="4433509"/>
          <a:ext cx="6034175" cy="2978626"/>
        </a:xfrm>
        <a:prstGeom prst="rect">
          <a:avLst/>
        </a:prstGeom>
      </xdr:spPr>
    </xdr:pic>
    <xdr:clientData/>
  </xdr:twoCellAnchor>
  <xdr:oneCellAnchor>
    <xdr:from>
      <xdr:col>2</xdr:col>
      <xdr:colOff>29817</xdr:colOff>
      <xdr:row>106</xdr:row>
      <xdr:rowOff>23191</xdr:rowOff>
    </xdr:from>
    <xdr:ext cx="474345" cy="473710"/>
    <xdr:pic>
      <xdr:nvPicPr>
        <xdr:cNvPr id="24" name="Picture 11" descr="Ein Bild, das Text enthält.&#10;&#10;Automatisch generierte Beschreibung">
          <a:extLst>
            <a:ext uri="{FF2B5EF4-FFF2-40B4-BE49-F238E27FC236}">
              <a16:creationId xmlns:a16="http://schemas.microsoft.com/office/drawing/2014/main" id="{7DB12261-B81A-4519-A2F8-688E4B7DA9E2}"/>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52727" y="37829821"/>
          <a:ext cx="474345" cy="473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43543</xdr:colOff>
      <xdr:row>127</xdr:row>
      <xdr:rowOff>33753</xdr:rowOff>
    </xdr:from>
    <xdr:to>
      <xdr:col>8</xdr:col>
      <xdr:colOff>58922</xdr:colOff>
      <xdr:row>150</xdr:row>
      <xdr:rowOff>106625</xdr:rowOff>
    </xdr:to>
    <xdr:pic>
      <xdr:nvPicPr>
        <xdr:cNvPr id="25" name="Grafik 24">
          <a:extLst>
            <a:ext uri="{FF2B5EF4-FFF2-40B4-BE49-F238E27FC236}">
              <a16:creationId xmlns:a16="http://schemas.microsoft.com/office/drawing/2014/main" id="{6AAF4605-43E2-4443-9968-6FC0E68B3704}"/>
            </a:ext>
          </a:extLst>
        </xdr:cNvPr>
        <xdr:cNvPicPr>
          <a:picLocks noChangeAspect="1"/>
        </xdr:cNvPicPr>
      </xdr:nvPicPr>
      <xdr:blipFill>
        <a:blip xmlns:r="http://schemas.openxmlformats.org/officeDocument/2006/relationships" r:embed="rId16"/>
        <a:stretch>
          <a:fillRect/>
        </a:stretch>
      </xdr:blipFill>
      <xdr:spPr>
        <a:xfrm>
          <a:off x="2055223" y="48093093"/>
          <a:ext cx="5471299" cy="3940022"/>
        </a:xfrm>
        <a:prstGeom prst="rect">
          <a:avLst/>
        </a:prstGeom>
      </xdr:spPr>
    </xdr:pic>
    <xdr:clientData/>
  </xdr:twoCellAnchor>
  <xdr:twoCellAnchor>
    <xdr:from>
      <xdr:col>12</xdr:col>
      <xdr:colOff>26504</xdr:colOff>
      <xdr:row>108</xdr:row>
      <xdr:rowOff>23190</xdr:rowOff>
    </xdr:from>
    <xdr:to>
      <xdr:col>14</xdr:col>
      <xdr:colOff>106017</xdr:colOff>
      <xdr:row>108</xdr:row>
      <xdr:rowOff>291547</xdr:rowOff>
    </xdr:to>
    <xdr:sp macro="" textlink="">
      <xdr:nvSpPr>
        <xdr:cNvPr id="26" name="Rechteck 25">
          <a:extLst>
            <a:ext uri="{FF2B5EF4-FFF2-40B4-BE49-F238E27FC236}">
              <a16:creationId xmlns:a16="http://schemas.microsoft.com/office/drawing/2014/main" id="{21A790AA-D70E-4D04-AFC9-57E340DE34E3}"/>
            </a:ext>
          </a:extLst>
        </xdr:cNvPr>
        <xdr:cNvSpPr/>
      </xdr:nvSpPr>
      <xdr:spPr>
        <a:xfrm>
          <a:off x="10081094" y="39064260"/>
          <a:ext cx="1009153" cy="268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0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Kontrolle</a:t>
          </a:r>
        </a:p>
      </xdr:txBody>
    </xdr:sp>
    <xdr:clientData/>
  </xdr:twoCellAnchor>
  <xdr:twoCellAnchor>
    <xdr:from>
      <xdr:col>17</xdr:col>
      <xdr:colOff>13253</xdr:colOff>
      <xdr:row>108</xdr:row>
      <xdr:rowOff>16564</xdr:rowOff>
    </xdr:from>
    <xdr:to>
      <xdr:col>20</xdr:col>
      <xdr:colOff>646044</xdr:colOff>
      <xdr:row>108</xdr:row>
      <xdr:rowOff>411480</xdr:rowOff>
    </xdr:to>
    <xdr:sp macro="" textlink="">
      <xdr:nvSpPr>
        <xdr:cNvPr id="27" name="Rechteck 26">
          <a:extLst>
            <a:ext uri="{FF2B5EF4-FFF2-40B4-BE49-F238E27FC236}">
              <a16:creationId xmlns:a16="http://schemas.microsoft.com/office/drawing/2014/main" id="{75FF3E44-C04F-479A-A449-3004A8CD933F}"/>
            </a:ext>
          </a:extLst>
        </xdr:cNvPr>
        <xdr:cNvSpPr/>
      </xdr:nvSpPr>
      <xdr:spPr>
        <a:xfrm>
          <a:off x="13801643" y="39057634"/>
          <a:ext cx="2793061" cy="39491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0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Variante bei der Jahresfahrleistung</a:t>
          </a:r>
        </a:p>
        <a:p>
          <a:pPr algn="l"/>
          <a:r>
            <a:rPr lang="de-DE" sz="10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Liter/kg/kW</a:t>
          </a:r>
          <a:r>
            <a:rPr lang="de-DE" sz="1000" b="1" cap="none" spc="0" baseline="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auf 100km</a:t>
          </a:r>
          <a:endParaRPr lang="de-DE" sz="10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xdr:from>
      <xdr:col>27</xdr:col>
      <xdr:colOff>0</xdr:colOff>
      <xdr:row>108</xdr:row>
      <xdr:rowOff>6626</xdr:rowOff>
    </xdr:from>
    <xdr:to>
      <xdr:col>28</xdr:col>
      <xdr:colOff>990600</xdr:colOff>
      <xdr:row>108</xdr:row>
      <xdr:rowOff>463825</xdr:rowOff>
    </xdr:to>
    <xdr:sp macro="" textlink="">
      <xdr:nvSpPr>
        <xdr:cNvPr id="28" name="Rechteck 27">
          <a:extLst>
            <a:ext uri="{FF2B5EF4-FFF2-40B4-BE49-F238E27FC236}">
              <a16:creationId xmlns:a16="http://schemas.microsoft.com/office/drawing/2014/main" id="{5D485408-89E7-46EE-97EA-FE6FD790F207}"/>
            </a:ext>
          </a:extLst>
        </xdr:cNvPr>
        <xdr:cNvSpPr/>
      </xdr:nvSpPr>
      <xdr:spPr>
        <a:xfrm>
          <a:off x="25008840" y="39047696"/>
          <a:ext cx="1695450" cy="45719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CO2 &amp; CO2 Preis </a:t>
          </a:r>
        </a:p>
        <a:p>
          <a:pPr algn="l"/>
          <a:r>
            <a:rPr lang="de-DE" sz="11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bei Jahresfahrleistung  </a:t>
          </a:r>
        </a:p>
      </xdr:txBody>
    </xdr:sp>
    <xdr:clientData/>
  </xdr:twoCellAnchor>
  <xdr:twoCellAnchor>
    <xdr:from>
      <xdr:col>29</xdr:col>
      <xdr:colOff>0</xdr:colOff>
      <xdr:row>108</xdr:row>
      <xdr:rowOff>0</xdr:rowOff>
    </xdr:from>
    <xdr:to>
      <xdr:col>30</xdr:col>
      <xdr:colOff>990599</xdr:colOff>
      <xdr:row>108</xdr:row>
      <xdr:rowOff>457199</xdr:rowOff>
    </xdr:to>
    <xdr:sp macro="" textlink="">
      <xdr:nvSpPr>
        <xdr:cNvPr id="29" name="Rechteck 28">
          <a:extLst>
            <a:ext uri="{FF2B5EF4-FFF2-40B4-BE49-F238E27FC236}">
              <a16:creationId xmlns:a16="http://schemas.microsoft.com/office/drawing/2014/main" id="{9FB5D352-778B-456A-8C3B-9479F6770CF9}"/>
            </a:ext>
          </a:extLst>
        </xdr:cNvPr>
        <xdr:cNvSpPr/>
      </xdr:nvSpPr>
      <xdr:spPr>
        <a:xfrm>
          <a:off x="26791920" y="39041070"/>
          <a:ext cx="1844039" cy="45719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Treibstoff Preis </a:t>
          </a:r>
        </a:p>
        <a:p>
          <a:pPr algn="l"/>
          <a:r>
            <a:rPr lang="de-DE" sz="11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je Einheit (Liter/kg/kW)</a:t>
          </a:r>
        </a:p>
      </xdr:txBody>
    </xdr:sp>
    <xdr:clientData/>
  </xdr:twoCellAnchor>
  <xdr:twoCellAnchor>
    <xdr:from>
      <xdr:col>31</xdr:col>
      <xdr:colOff>7620</xdr:colOff>
      <xdr:row>108</xdr:row>
      <xdr:rowOff>2816</xdr:rowOff>
    </xdr:from>
    <xdr:to>
      <xdr:col>34</xdr:col>
      <xdr:colOff>480060</xdr:colOff>
      <xdr:row>108</xdr:row>
      <xdr:rowOff>460015</xdr:rowOff>
    </xdr:to>
    <xdr:sp macro="" textlink="">
      <xdr:nvSpPr>
        <xdr:cNvPr id="30" name="Rechteck 29">
          <a:extLst>
            <a:ext uri="{FF2B5EF4-FFF2-40B4-BE49-F238E27FC236}">
              <a16:creationId xmlns:a16="http://schemas.microsoft.com/office/drawing/2014/main" id="{BE0B3C00-C024-4721-97F5-E52166CA8B84}"/>
            </a:ext>
          </a:extLst>
        </xdr:cNvPr>
        <xdr:cNvSpPr/>
      </xdr:nvSpPr>
      <xdr:spPr>
        <a:xfrm>
          <a:off x="28731210" y="39043886"/>
          <a:ext cx="1482090" cy="45719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Preis </a:t>
          </a:r>
          <a:r>
            <a:rPr lang="de-DE" sz="1100" b="1" cap="none" spc="0" baseline="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a:t>
          </a:r>
          <a:r>
            <a:rPr lang="de-DE" sz="11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t CO2</a:t>
          </a:r>
        </a:p>
      </xdr:txBody>
    </xdr:sp>
    <xdr:clientData/>
  </xdr:twoCellAnchor>
  <xdr:twoCellAnchor>
    <xdr:from>
      <xdr:col>9</xdr:col>
      <xdr:colOff>18884</xdr:colOff>
      <xdr:row>108</xdr:row>
      <xdr:rowOff>19380</xdr:rowOff>
    </xdr:from>
    <xdr:to>
      <xdr:col>11</xdr:col>
      <xdr:colOff>26670</xdr:colOff>
      <xdr:row>108</xdr:row>
      <xdr:rowOff>422910</xdr:rowOff>
    </xdr:to>
    <xdr:sp macro="" textlink="">
      <xdr:nvSpPr>
        <xdr:cNvPr id="31" name="Rechteck 30">
          <a:extLst>
            <a:ext uri="{FF2B5EF4-FFF2-40B4-BE49-F238E27FC236}">
              <a16:creationId xmlns:a16="http://schemas.microsoft.com/office/drawing/2014/main" id="{084432D6-6CEA-481F-AA52-039B90C472E2}"/>
            </a:ext>
          </a:extLst>
        </xdr:cNvPr>
        <xdr:cNvSpPr/>
      </xdr:nvSpPr>
      <xdr:spPr>
        <a:xfrm>
          <a:off x="7947494" y="39060450"/>
          <a:ext cx="1398436" cy="40353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0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Kraftstoff abschätzen </a:t>
          </a:r>
        </a:p>
      </xdr:txBody>
    </xdr:sp>
    <xdr:clientData/>
  </xdr:twoCellAnchor>
  <xdr:twoCellAnchor>
    <xdr:from>
      <xdr:col>8</xdr:col>
      <xdr:colOff>75267</xdr:colOff>
      <xdr:row>119</xdr:row>
      <xdr:rowOff>564337</xdr:rowOff>
    </xdr:from>
    <xdr:to>
      <xdr:col>9</xdr:col>
      <xdr:colOff>102653</xdr:colOff>
      <xdr:row>123</xdr:row>
      <xdr:rowOff>417</xdr:rowOff>
    </xdr:to>
    <mc:AlternateContent xmlns:mc="http://schemas.openxmlformats.org/markup-compatibility/2006">
      <mc:Choice xmlns:am3d="http://schemas.microsoft.com/office/drawing/2017/model3d" Requires="am3d">
        <xdr:graphicFrame macro="">
          <xdr:nvGraphicFramePr>
            <xdr:cNvPr id="32" name="3D-Modell 31" descr="Roter Kegel">
              <a:extLst>
                <a:ext uri="{FF2B5EF4-FFF2-40B4-BE49-F238E27FC236}">
                  <a16:creationId xmlns:a16="http://schemas.microsoft.com/office/drawing/2014/main" id="{72A89B27-D173-4B7D-B21F-7F5878F54E73}"/>
                </a:ext>
              </a:extLst>
            </xdr:cNvPr>
            <xdr:cNvGraphicFramePr>
              <a:graphicFrameLocks noChangeAspect="1"/>
            </xdr:cNvGraphicFramePr>
          </xdr:nvGraphicFramePr>
          <xdr:xfrm>
            <a:off x="0" y="0"/>
            <a:ext cx="0" cy="0"/>
          </xdr:xfrm>
          <a:graphic>
            <a:graphicData uri="http://schemas.microsoft.com/office/drawing/2017/model3d">
              <am3d:model3d xmlns:r="http://schemas.openxmlformats.org/officeDocument/2006/relationships" r:embed="rId17">
                <am3d:spPr>
                  <a:xfrm>
                    <a:off x="0" y="0"/>
                    <a:ext cx="488396" cy="556220"/>
                  </a:xfrm>
                  <a:prstGeom prst="rect">
                    <a:avLst/>
                  </a:prstGeom>
                  <a:effectLst>
                    <a:outerShdw blurRad="50800" dist="38100" dir="5400000" algn="t" rotWithShape="0">
                      <a:prstClr val="black">
                        <a:alpha val="40000"/>
                      </a:prstClr>
                    </a:outerShdw>
                  </a:effectLst>
                </am3d:spPr>
                <am3d:camera>
                  <am3d:pos x="0" y="0" z="79877068"/>
                  <am3d:up dx="0" dy="36000000" dz="0"/>
                  <am3d:lookAt x="0" y="0" z="0"/>
                  <am3d:perspective fov="2700000"/>
                </am3d:camera>
                <am3d:trans>
                  <am3d:meterPerModelUnit n="6704480" d="1000000"/>
                  <am3d:preTrans dx="2" dy="-16922770" dz="-2"/>
                  <am3d:scale>
                    <am3d:sx n="1000000" d="1000000"/>
                    <am3d:sy n="1000000" d="1000000"/>
                    <am3d:sz n="1000000" d="1000000"/>
                  </am3d:scale>
                  <am3d:rot ax="10482737" ay="-428944" az="-10760400"/>
                  <am3d:postTrans dx="0" dy="0" dz="0"/>
                </am3d:trans>
                <am3d:raster rName="Office3DRenderer" rVer="16.0.8326">
                  <am3d:blip r:embed="rId18"/>
                </am3d:raster>
                <am3d:objViewport viewportSz="727167"/>
                <am3d:ambientLight>
                  <am3d:clr>
                    <a:scrgbClr r="50000" g="50000" b="50000"/>
                  </am3d:clr>
                  <am3d:illuminance n="500000" d="1000000"/>
                </am3d:ambientLight>
                <am3d:ptLight rad="0">
                  <am3d:clr>
                    <a:scrgbClr r="100000" g="75000" b="50000"/>
                  </am3d:clr>
                  <am3d:intensity n="9765625" d="1000000"/>
                  <am3d:pos x="21959998" y="70920001" z="16344003"/>
                </am3d:ptLight>
                <am3d:ptLight rad="0">
                  <am3d:clr>
                    <a:scrgbClr r="40000" g="60000" b="95000"/>
                  </am3d:clr>
                  <am3d:intensity n="12250000" d="1000000"/>
                  <am3d:pos x="-37964106" y="51130435" z="57631972"/>
                </am3d:ptLight>
                <am3d:ptLight rad="0">
                  <am3d:clr>
                    <a:scrgbClr r="86837" g="72700" b="100000"/>
                  </am3d:clr>
                  <am3d:intensity n="3125000" d="1000000"/>
                  <am3d:pos x="-37739122" y="58056624" z="-34769649"/>
                </am3d:ptLight>
              </am3d:model3d>
            </a:graphicData>
          </a:graphic>
        </xdr:graphicFrame>
      </mc:Choice>
      <mc:Fallback>
        <xdr:pic>
          <xdr:nvPicPr>
            <xdr:cNvPr id="32" name="3D-Modell 31" descr="Roter Kegel">
              <a:extLst>
                <a:ext uri="{FF2B5EF4-FFF2-40B4-BE49-F238E27FC236}">
                  <a16:creationId xmlns:a16="http://schemas.microsoft.com/office/drawing/2014/main" id="{72A89B27-D173-4B7D-B21F-7F5878F54E73}"/>
                </a:ext>
              </a:extLst>
            </xdr:cNvPr>
            <xdr:cNvPicPr>
              <a:picLocks noGrp="1" noRot="1" noChangeAspect="1" noMove="1" noResize="1" noEditPoints="1" noAdjustHandles="1" noChangeArrowheads="1" noChangeShapeType="1" noCrop="1"/>
            </xdr:cNvPicPr>
          </xdr:nvPicPr>
          <xdr:blipFill>
            <a:blip xmlns:r="http://schemas.openxmlformats.org/officeDocument/2006/relationships" r:embed="rId18"/>
            <a:stretch>
              <a:fillRect/>
            </a:stretch>
          </xdr:blipFill>
          <xdr:spPr>
            <a:xfrm>
              <a:off x="7542867" y="46840597"/>
              <a:ext cx="488396" cy="556220"/>
            </a:xfrm>
            <a:prstGeom prst="rect">
              <a:avLst/>
            </a:prstGeom>
            <a:effectLst>
              <a:outerShdw blurRad="50800" dist="38100" dir="5400000" algn="t" rotWithShape="0">
                <a:prstClr val="black">
                  <a:alpha val="40000"/>
                </a:prstClr>
              </a:outerShdw>
            </a:effectLst>
          </xdr:spPr>
        </xdr:pic>
      </mc:Fallback>
    </mc:AlternateContent>
    <xdr:clientData/>
  </xdr:twoCellAnchor>
  <xdr:twoCellAnchor>
    <xdr:from>
      <xdr:col>4</xdr:col>
      <xdr:colOff>469490</xdr:colOff>
      <xdr:row>120</xdr:row>
      <xdr:rowOff>140619</xdr:rowOff>
    </xdr:from>
    <xdr:to>
      <xdr:col>4</xdr:col>
      <xdr:colOff>884689</xdr:colOff>
      <xdr:row>124</xdr:row>
      <xdr:rowOff>19672</xdr:rowOff>
    </xdr:to>
    <mc:AlternateContent xmlns:mc="http://schemas.openxmlformats.org/markup-compatibility/2006">
      <mc:Choice xmlns:am3d="http://schemas.microsoft.com/office/drawing/2017/model3d" Requires="am3d">
        <xdr:graphicFrame macro="">
          <xdr:nvGraphicFramePr>
            <xdr:cNvPr id="33" name="3D-Modell 32" descr="Roter Zylinder">
              <a:extLst>
                <a:ext uri="{FF2B5EF4-FFF2-40B4-BE49-F238E27FC236}">
                  <a16:creationId xmlns:a16="http://schemas.microsoft.com/office/drawing/2014/main" id="{CFA14E85-C912-4F10-9E8B-5E6D253436B0}"/>
                </a:ext>
              </a:extLst>
            </xdr:cNvPr>
            <xdr:cNvGraphicFramePr>
              <a:graphicFrameLocks noChangeAspect="1"/>
            </xdr:cNvGraphicFramePr>
          </xdr:nvGraphicFramePr>
          <xdr:xfrm>
            <a:off x="0" y="0"/>
            <a:ext cx="0" cy="0"/>
          </xdr:xfrm>
          <a:graphic>
            <a:graphicData uri="http://schemas.microsoft.com/office/drawing/2017/model3d">
              <am3d:model3d xmlns:r="http://schemas.openxmlformats.org/officeDocument/2006/relationships" r:embed="rId19">
                <am3d:spPr>
                  <a:xfrm>
                    <a:off x="0" y="0"/>
                    <a:ext cx="415199" cy="534373"/>
                  </a:xfrm>
                  <a:prstGeom prst="rect">
                    <a:avLst/>
                  </a:prstGeom>
                  <a:effectLst>
                    <a:outerShdw blurRad="50800" dist="38100" dir="2700000" algn="tl" rotWithShape="0">
                      <a:prstClr val="black">
                        <a:alpha val="40000"/>
                      </a:prstClr>
                    </a:outerShdw>
                  </a:effectLst>
                </am3d:spPr>
                <am3d:camera>
                  <am3d:pos x="0" y="0" z="62782805"/>
                  <am3d:up dx="0" dy="36000000" dz="0"/>
                  <am3d:lookAt x="0" y="0" z="0"/>
                  <am3d:perspective fov="2700000"/>
                </am3d:camera>
                <am3d:trans>
                  <am3d:meterPerModelUnit n="7159681" d="1000000"/>
                  <am3d:preTrans dx="22" dy="-18000000" dz="6"/>
                  <am3d:scale>
                    <am3d:sx n="1000000" d="1000000"/>
                    <am3d:sy n="1000000" d="1000000"/>
                    <am3d:sz n="1000000" d="1000000"/>
                  </am3d:scale>
                  <am3d:rot ax="6129047" ay="-3182407" az="-6304827"/>
                  <am3d:postTrans dx="0" dy="0" dz="0"/>
                </am3d:trans>
                <am3d:raster rName="Office3DRenderer" rVer="16.0.8326">
                  <am3d:blip r:embed="rId20"/>
                </am3d:raster>
                <am3d:objViewport viewportSz="626317"/>
                <am3d:ambientLight>
                  <am3d:clr>
                    <a:scrgbClr r="50000" g="50000" b="50000"/>
                  </am3d:clr>
                  <am3d:illuminance n="500000" d="1000000"/>
                </am3d:ambientLight>
                <am3d:ptLight rad="0">
                  <am3d:clr>
                    <a:scrgbClr r="100000" g="75000" b="50000"/>
                  </am3d:clr>
                  <am3d:intensity n="9765625" d="1000000"/>
                  <am3d:pos x="21959998" y="70920001" z="16344003"/>
                </am3d:ptLight>
                <am3d:ptLight rad="0">
                  <am3d:clr>
                    <a:scrgbClr r="40000" g="60000" b="95000"/>
                  </am3d:clr>
                  <am3d:intensity n="12250000" d="1000000"/>
                  <am3d:pos x="-37964106" y="51130435" z="57631972"/>
                </am3d:ptLight>
                <am3d:ptLight rad="0">
                  <am3d:clr>
                    <a:scrgbClr r="86837" g="72700" b="100000"/>
                  </am3d:clr>
                  <am3d:intensity n="3125000" d="1000000"/>
                  <am3d:pos x="-37739122" y="58056624" z="-34769649"/>
                </am3d:ptLight>
              </am3d:model3d>
            </a:graphicData>
          </a:graphic>
        </xdr:graphicFrame>
      </mc:Choice>
      <mc:Fallback>
        <xdr:pic>
          <xdr:nvPicPr>
            <xdr:cNvPr id="33" name="3D-Modell 32" descr="Roter Zylinder">
              <a:extLst>
                <a:ext uri="{FF2B5EF4-FFF2-40B4-BE49-F238E27FC236}">
                  <a16:creationId xmlns:a16="http://schemas.microsoft.com/office/drawing/2014/main" id="{CFA14E85-C912-4F10-9E8B-5E6D253436B0}"/>
                </a:ext>
              </a:extLst>
            </xdr:cNvPr>
            <xdr:cNvPicPr>
              <a:picLocks noGrp="1" noRot="1" noChangeAspect="1" noMove="1" noResize="1" noEditPoints="1" noAdjustHandles="1" noChangeArrowheads="1" noChangeShapeType="1" noCrop="1"/>
            </xdr:cNvPicPr>
          </xdr:nvPicPr>
          <xdr:blipFill>
            <a:blip xmlns:r="http://schemas.openxmlformats.org/officeDocument/2006/relationships" r:embed="rId20"/>
            <a:stretch>
              <a:fillRect/>
            </a:stretch>
          </xdr:blipFill>
          <xdr:spPr>
            <a:xfrm>
              <a:off x="2481170" y="47053149"/>
              <a:ext cx="415199" cy="534373"/>
            </a:xfrm>
            <a:prstGeom prst="rect">
              <a:avLst/>
            </a:prstGeom>
            <a:effectLst>
              <a:outerShdw blurRad="50800" dist="38100" dir="2700000" algn="tl" rotWithShape="0">
                <a:prstClr val="black">
                  <a:alpha val="40000"/>
                </a:prstClr>
              </a:outerShdw>
            </a:effectLst>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198664</xdr:colOff>
      <xdr:row>31</xdr:row>
      <xdr:rowOff>70756</xdr:rowOff>
    </xdr:from>
    <xdr:to>
      <xdr:col>32</xdr:col>
      <xdr:colOff>134378</xdr:colOff>
      <xdr:row>71</xdr:row>
      <xdr:rowOff>98339</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t="6295"/>
        <a:stretch/>
      </xdr:blipFill>
      <xdr:spPr>
        <a:xfrm>
          <a:off x="13914664" y="4438649"/>
          <a:ext cx="10866472" cy="6559012"/>
        </a:xfrm>
        <a:prstGeom prst="rect">
          <a:avLst/>
        </a:prstGeom>
      </xdr:spPr>
    </xdr:pic>
    <xdr:clientData/>
  </xdr:twoCellAnchor>
  <xdr:twoCellAnchor editAs="oneCell">
    <xdr:from>
      <xdr:col>0</xdr:col>
      <xdr:colOff>43546</xdr:colOff>
      <xdr:row>88</xdr:row>
      <xdr:rowOff>123825</xdr:rowOff>
    </xdr:from>
    <xdr:to>
      <xdr:col>9</xdr:col>
      <xdr:colOff>23641</xdr:colOff>
      <xdr:row>135</xdr:row>
      <xdr:rowOff>1313</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43546" y="14778718"/>
          <a:ext cx="6838095" cy="7548306"/>
        </a:xfrm>
        <a:prstGeom prst="rect">
          <a:avLst/>
        </a:prstGeom>
      </xdr:spPr>
    </xdr:pic>
    <xdr:clientData/>
  </xdr:twoCellAnchor>
  <xdr:twoCellAnchor editAs="oneCell">
    <xdr:from>
      <xdr:col>0</xdr:col>
      <xdr:colOff>628650</xdr:colOff>
      <xdr:row>138</xdr:row>
      <xdr:rowOff>100637</xdr:rowOff>
    </xdr:from>
    <xdr:to>
      <xdr:col>11</xdr:col>
      <xdr:colOff>408214</xdr:colOff>
      <xdr:row>176</xdr:row>
      <xdr:rowOff>74162</xdr:rowOff>
    </xdr:to>
    <xdr:pic>
      <xdr:nvPicPr>
        <xdr:cNvPr id="4" name="Grafik 3" descr="So viel kostet eine Tonne CO2">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8650" y="16493162"/>
          <a:ext cx="8667750" cy="6128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74837</xdr:colOff>
      <xdr:row>88</xdr:row>
      <xdr:rowOff>46265</xdr:rowOff>
    </xdr:from>
    <xdr:to>
      <xdr:col>25</xdr:col>
      <xdr:colOff>684058</xdr:colOff>
      <xdr:row>134</xdr:row>
      <xdr:rowOff>45333</xdr:rowOff>
    </xdr:to>
    <xdr:pic>
      <xdr:nvPicPr>
        <xdr:cNvPr id="5" name="Grafik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12827451" y="14279336"/>
          <a:ext cx="7959143" cy="7259840"/>
        </a:xfrm>
        <a:prstGeom prst="rect">
          <a:avLst/>
        </a:prstGeom>
      </xdr:spPr>
    </xdr:pic>
    <xdr:clientData/>
  </xdr:twoCellAnchor>
  <xdr:twoCellAnchor editAs="oneCell">
    <xdr:from>
      <xdr:col>0</xdr:col>
      <xdr:colOff>333376</xdr:colOff>
      <xdr:row>3</xdr:row>
      <xdr:rowOff>95251</xdr:rowOff>
    </xdr:from>
    <xdr:to>
      <xdr:col>4</xdr:col>
      <xdr:colOff>371476</xdr:colOff>
      <xdr:row>22</xdr:row>
      <xdr:rowOff>140278</xdr:rowOff>
    </xdr:to>
    <xdr:pic>
      <xdr:nvPicPr>
        <xdr:cNvPr id="6" name="Grafik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stretch>
          <a:fillRect/>
        </a:stretch>
      </xdr:blipFill>
      <xdr:spPr>
        <a:xfrm>
          <a:off x="333376" y="435430"/>
          <a:ext cx="3086100" cy="3405991"/>
        </a:xfrm>
        <a:prstGeom prst="rect">
          <a:avLst/>
        </a:prstGeom>
      </xdr:spPr>
    </xdr:pic>
    <xdr:clientData/>
  </xdr:twoCellAnchor>
  <xdr:twoCellAnchor editAs="oneCell">
    <xdr:from>
      <xdr:col>0</xdr:col>
      <xdr:colOff>314325</xdr:colOff>
      <xdr:row>31</xdr:row>
      <xdr:rowOff>123825</xdr:rowOff>
    </xdr:from>
    <xdr:to>
      <xdr:col>4</xdr:col>
      <xdr:colOff>362054</xdr:colOff>
      <xdr:row>51</xdr:row>
      <xdr:rowOff>142370</xdr:rowOff>
    </xdr:to>
    <xdr:pic>
      <xdr:nvPicPr>
        <xdr:cNvPr id="7" name="Grafik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stretch>
          <a:fillRect/>
        </a:stretch>
      </xdr:blipFill>
      <xdr:spPr>
        <a:xfrm>
          <a:off x="314325" y="4572000"/>
          <a:ext cx="3095729" cy="3257045"/>
        </a:xfrm>
        <a:prstGeom prst="rect">
          <a:avLst/>
        </a:prstGeom>
      </xdr:spPr>
    </xdr:pic>
    <xdr:clientData/>
  </xdr:twoCellAnchor>
  <xdr:twoCellAnchor editAs="oneCell">
    <xdr:from>
      <xdr:col>0</xdr:col>
      <xdr:colOff>523875</xdr:colOff>
      <xdr:row>51</xdr:row>
      <xdr:rowOff>76200</xdr:rowOff>
    </xdr:from>
    <xdr:to>
      <xdr:col>4</xdr:col>
      <xdr:colOff>308142</xdr:colOff>
      <xdr:row>74</xdr:row>
      <xdr:rowOff>123232</xdr:rowOff>
    </xdr:to>
    <xdr:pic>
      <xdr:nvPicPr>
        <xdr:cNvPr id="8" name="Grafik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stretch>
          <a:fillRect/>
        </a:stretch>
      </xdr:blipFill>
      <xdr:spPr>
        <a:xfrm>
          <a:off x="523875" y="7762875"/>
          <a:ext cx="2832267" cy="3771307"/>
        </a:xfrm>
        <a:prstGeom prst="rect">
          <a:avLst/>
        </a:prstGeom>
      </xdr:spPr>
    </xdr:pic>
    <xdr:clientData/>
  </xdr:twoCellAnchor>
  <xdr:twoCellAnchor editAs="oneCell">
    <xdr:from>
      <xdr:col>4</xdr:col>
      <xdr:colOff>600797</xdr:colOff>
      <xdr:row>31</xdr:row>
      <xdr:rowOff>28574</xdr:rowOff>
    </xdr:from>
    <xdr:to>
      <xdr:col>8</xdr:col>
      <xdr:colOff>600074</xdr:colOff>
      <xdr:row>54</xdr:row>
      <xdr:rowOff>7911</xdr:rowOff>
    </xdr:to>
    <xdr:pic>
      <xdr:nvPicPr>
        <xdr:cNvPr id="10" name="Grafik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8"/>
        <a:stretch>
          <a:fillRect/>
        </a:stretch>
      </xdr:blipFill>
      <xdr:spPr>
        <a:xfrm>
          <a:off x="3648797" y="4476749"/>
          <a:ext cx="3047277" cy="3703613"/>
        </a:xfrm>
        <a:prstGeom prst="rect">
          <a:avLst/>
        </a:prstGeom>
      </xdr:spPr>
    </xdr:pic>
    <xdr:clientData/>
  </xdr:twoCellAnchor>
  <xdr:twoCellAnchor editAs="oneCell">
    <xdr:from>
      <xdr:col>4</xdr:col>
      <xdr:colOff>638897</xdr:colOff>
      <xdr:row>53</xdr:row>
      <xdr:rowOff>132972</xdr:rowOff>
    </xdr:from>
    <xdr:to>
      <xdr:col>8</xdr:col>
      <xdr:colOff>723900</xdr:colOff>
      <xdr:row>65</xdr:row>
      <xdr:rowOff>104486</xdr:rowOff>
    </xdr:to>
    <xdr:pic>
      <xdr:nvPicPr>
        <xdr:cNvPr id="11" name="Grafik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9"/>
        <a:stretch>
          <a:fillRect/>
        </a:stretch>
      </xdr:blipFill>
      <xdr:spPr>
        <a:xfrm>
          <a:off x="3686897" y="8143497"/>
          <a:ext cx="3133003" cy="1914613"/>
        </a:xfrm>
        <a:prstGeom prst="rect">
          <a:avLst/>
        </a:prstGeom>
      </xdr:spPr>
    </xdr:pic>
    <xdr:clientData/>
  </xdr:twoCellAnchor>
  <xdr:twoCellAnchor editAs="oneCell">
    <xdr:from>
      <xdr:col>8</xdr:col>
      <xdr:colOff>755198</xdr:colOff>
      <xdr:row>31</xdr:row>
      <xdr:rowOff>40390</xdr:rowOff>
    </xdr:from>
    <xdr:to>
      <xdr:col>12</xdr:col>
      <xdr:colOff>20411</xdr:colOff>
      <xdr:row>56</xdr:row>
      <xdr:rowOff>146324</xdr:rowOff>
    </xdr:to>
    <xdr:pic>
      <xdr:nvPicPr>
        <xdr:cNvPr id="12" name="Grafik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0"/>
        <a:stretch>
          <a:fillRect/>
        </a:stretch>
      </xdr:blipFill>
      <xdr:spPr>
        <a:xfrm>
          <a:off x="6851198" y="4408283"/>
          <a:ext cx="3086099" cy="4188078"/>
        </a:xfrm>
        <a:prstGeom prst="rect">
          <a:avLst/>
        </a:prstGeom>
      </xdr:spPr>
    </xdr:pic>
    <xdr:clientData/>
  </xdr:twoCellAnchor>
  <xdr:twoCellAnchor editAs="oneCell">
    <xdr:from>
      <xdr:col>9</xdr:col>
      <xdr:colOff>34020</xdr:colOff>
      <xdr:row>56</xdr:row>
      <xdr:rowOff>95250</xdr:rowOff>
    </xdr:from>
    <xdr:to>
      <xdr:col>12</xdr:col>
      <xdr:colOff>412</xdr:colOff>
      <xdr:row>79</xdr:row>
      <xdr:rowOff>77916</xdr:rowOff>
    </xdr:to>
    <xdr:pic>
      <xdr:nvPicPr>
        <xdr:cNvPr id="13" name="Grafik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1"/>
        <a:stretch>
          <a:fillRect/>
        </a:stretch>
      </xdr:blipFill>
      <xdr:spPr>
        <a:xfrm>
          <a:off x="6892020" y="8545286"/>
          <a:ext cx="3012215" cy="3738236"/>
        </a:xfrm>
        <a:prstGeom prst="rect">
          <a:avLst/>
        </a:prstGeom>
      </xdr:spPr>
    </xdr:pic>
    <xdr:clientData/>
  </xdr:twoCellAnchor>
  <xdr:twoCellAnchor editAs="oneCell">
    <xdr:from>
      <xdr:col>12</xdr:col>
      <xdr:colOff>304800</xdr:colOff>
      <xdr:row>31</xdr:row>
      <xdr:rowOff>70580</xdr:rowOff>
    </xdr:from>
    <xdr:to>
      <xdr:col>16</xdr:col>
      <xdr:colOff>17080</xdr:colOff>
      <xdr:row>41</xdr:row>
      <xdr:rowOff>22896</xdr:rowOff>
    </xdr:to>
    <xdr:pic>
      <xdr:nvPicPr>
        <xdr:cNvPr id="14" name="Grafik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2"/>
        <a:stretch>
          <a:fillRect/>
        </a:stretch>
      </xdr:blipFill>
      <xdr:spPr>
        <a:xfrm>
          <a:off x="9797143" y="5306609"/>
          <a:ext cx="3031672" cy="1530744"/>
        </a:xfrm>
        <a:prstGeom prst="rect">
          <a:avLst/>
        </a:prstGeom>
      </xdr:spPr>
    </xdr:pic>
    <xdr:clientData/>
  </xdr:twoCellAnchor>
  <xdr:twoCellAnchor editAs="oneCell">
    <xdr:from>
      <xdr:col>12</xdr:col>
      <xdr:colOff>296636</xdr:colOff>
      <xdr:row>40</xdr:row>
      <xdr:rowOff>97971</xdr:rowOff>
    </xdr:from>
    <xdr:to>
      <xdr:col>16</xdr:col>
      <xdr:colOff>37921</xdr:colOff>
      <xdr:row>54</xdr:row>
      <xdr:rowOff>59541</xdr:rowOff>
    </xdr:to>
    <xdr:pic>
      <xdr:nvPicPr>
        <xdr:cNvPr id="15" name="Grafik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3"/>
        <a:stretch>
          <a:fillRect/>
        </a:stretch>
      </xdr:blipFill>
      <xdr:spPr>
        <a:xfrm>
          <a:off x="9788979" y="6754585"/>
          <a:ext cx="3060677" cy="2171370"/>
        </a:xfrm>
        <a:prstGeom prst="rect">
          <a:avLst/>
        </a:prstGeom>
      </xdr:spPr>
    </xdr:pic>
    <xdr:clientData/>
  </xdr:twoCellAnchor>
  <xdr:twoCellAnchor editAs="oneCell">
    <xdr:from>
      <xdr:col>4</xdr:col>
      <xdr:colOff>571499</xdr:colOff>
      <xdr:row>3</xdr:row>
      <xdr:rowOff>122464</xdr:rowOff>
    </xdr:from>
    <xdr:to>
      <xdr:col>8</xdr:col>
      <xdr:colOff>618744</xdr:colOff>
      <xdr:row>11</xdr:row>
      <xdr:rowOff>20215</xdr:rowOff>
    </xdr:to>
    <xdr:pic>
      <xdr:nvPicPr>
        <xdr:cNvPr id="16" name="Grafik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4"/>
        <a:stretch>
          <a:fillRect/>
        </a:stretch>
      </xdr:blipFill>
      <xdr:spPr>
        <a:xfrm>
          <a:off x="3619499" y="462643"/>
          <a:ext cx="3095245" cy="1312893"/>
        </a:xfrm>
        <a:prstGeom prst="rect">
          <a:avLst/>
        </a:prstGeom>
      </xdr:spPr>
    </xdr:pic>
    <xdr:clientData/>
  </xdr:twoCellAnchor>
  <xdr:twoCellAnchor editAs="oneCell">
    <xdr:from>
      <xdr:col>4</xdr:col>
      <xdr:colOff>585108</xdr:colOff>
      <xdr:row>10</xdr:row>
      <xdr:rowOff>171367</xdr:rowOff>
    </xdr:from>
    <xdr:to>
      <xdr:col>8</xdr:col>
      <xdr:colOff>598715</xdr:colOff>
      <xdr:row>18</xdr:row>
      <xdr:rowOff>152190</xdr:rowOff>
    </xdr:to>
    <xdr:pic>
      <xdr:nvPicPr>
        <xdr:cNvPr id="17" name="Grafik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5"/>
        <a:stretch>
          <a:fillRect/>
        </a:stretch>
      </xdr:blipFill>
      <xdr:spPr>
        <a:xfrm>
          <a:off x="3633108" y="1749796"/>
          <a:ext cx="3061607" cy="1395966"/>
        </a:xfrm>
        <a:prstGeom prst="rect">
          <a:avLst/>
        </a:prstGeom>
      </xdr:spPr>
    </xdr:pic>
    <xdr:clientData/>
  </xdr:twoCellAnchor>
  <xdr:twoCellAnchor editAs="oneCell">
    <xdr:from>
      <xdr:col>12</xdr:col>
      <xdr:colOff>394607</xdr:colOff>
      <xdr:row>3</xdr:row>
      <xdr:rowOff>40820</xdr:rowOff>
    </xdr:from>
    <xdr:to>
      <xdr:col>16</xdr:col>
      <xdr:colOff>19517</xdr:colOff>
      <xdr:row>17</xdr:row>
      <xdr:rowOff>98953</xdr:rowOff>
    </xdr:to>
    <xdr:pic>
      <xdr:nvPicPr>
        <xdr:cNvPr id="18" name="Grafik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6"/>
        <a:stretch>
          <a:fillRect/>
        </a:stretch>
      </xdr:blipFill>
      <xdr:spPr>
        <a:xfrm>
          <a:off x="8776607" y="380999"/>
          <a:ext cx="3074930" cy="2534632"/>
        </a:xfrm>
        <a:prstGeom prst="rect">
          <a:avLst/>
        </a:prstGeom>
      </xdr:spPr>
    </xdr:pic>
    <xdr:clientData/>
  </xdr:twoCellAnchor>
  <xdr:twoCellAnchor editAs="oneCell">
    <xdr:from>
      <xdr:col>16</xdr:col>
      <xdr:colOff>449037</xdr:colOff>
      <xdr:row>4</xdr:row>
      <xdr:rowOff>34813</xdr:rowOff>
    </xdr:from>
    <xdr:to>
      <xdr:col>20</xdr:col>
      <xdr:colOff>100881</xdr:colOff>
      <xdr:row>24</xdr:row>
      <xdr:rowOff>374</xdr:rowOff>
    </xdr:to>
    <xdr:pic>
      <xdr:nvPicPr>
        <xdr:cNvPr id="19" name="Grafik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7"/>
        <a:stretch>
          <a:fillRect/>
        </a:stretch>
      </xdr:blipFill>
      <xdr:spPr>
        <a:xfrm>
          <a:off x="11879037" y="551884"/>
          <a:ext cx="3156857" cy="3486199"/>
        </a:xfrm>
        <a:prstGeom prst="rect">
          <a:avLst/>
        </a:prstGeom>
      </xdr:spPr>
    </xdr:pic>
    <xdr:clientData/>
  </xdr:twoCellAnchor>
  <xdr:twoCellAnchor editAs="oneCell">
    <xdr:from>
      <xdr:col>20</xdr:col>
      <xdr:colOff>598717</xdr:colOff>
      <xdr:row>4</xdr:row>
      <xdr:rowOff>35334</xdr:rowOff>
    </xdr:from>
    <xdr:to>
      <xdr:col>24</xdr:col>
      <xdr:colOff>405869</xdr:colOff>
      <xdr:row>25</xdr:row>
      <xdr:rowOff>149117</xdr:rowOff>
    </xdr:to>
    <xdr:pic>
      <xdr:nvPicPr>
        <xdr:cNvPr id="20" name="Grafik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8"/>
        <a:stretch>
          <a:fillRect/>
        </a:stretch>
      </xdr:blipFill>
      <xdr:spPr>
        <a:xfrm>
          <a:off x="15076717" y="552405"/>
          <a:ext cx="3170462" cy="3801320"/>
        </a:xfrm>
        <a:prstGeom prst="rect">
          <a:avLst/>
        </a:prstGeom>
      </xdr:spPr>
    </xdr:pic>
    <xdr:clientData/>
  </xdr:twoCellAnchor>
  <xdr:twoCellAnchor editAs="oneCell">
    <xdr:from>
      <xdr:col>26</xdr:col>
      <xdr:colOff>702128</xdr:colOff>
      <xdr:row>88</xdr:row>
      <xdr:rowOff>130628</xdr:rowOff>
    </xdr:from>
    <xdr:to>
      <xdr:col>37</xdr:col>
      <xdr:colOff>396260</xdr:colOff>
      <xdr:row>133</xdr:row>
      <xdr:rowOff>84907</xdr:rowOff>
    </xdr:to>
    <xdr:pic>
      <xdr:nvPicPr>
        <xdr:cNvPr id="21" name="Grafik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9"/>
        <a:stretch>
          <a:fillRect/>
        </a:stretch>
      </xdr:blipFill>
      <xdr:spPr>
        <a:xfrm>
          <a:off x="20748171" y="14363699"/>
          <a:ext cx="8551349" cy="7057208"/>
        </a:xfrm>
        <a:prstGeom prst="rect">
          <a:avLst/>
        </a:prstGeom>
      </xdr:spPr>
    </xdr:pic>
    <xdr:clientData/>
  </xdr:twoCellAnchor>
  <xdr:twoCellAnchor editAs="oneCell">
    <xdr:from>
      <xdr:col>38</xdr:col>
      <xdr:colOff>639536</xdr:colOff>
      <xdr:row>86</xdr:row>
      <xdr:rowOff>122465</xdr:rowOff>
    </xdr:from>
    <xdr:to>
      <xdr:col>54</xdr:col>
      <xdr:colOff>190393</xdr:colOff>
      <xdr:row>137</xdr:row>
      <xdr:rowOff>137750</xdr:rowOff>
    </xdr:to>
    <xdr:pic>
      <xdr:nvPicPr>
        <xdr:cNvPr id="9" name="Grafik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0"/>
        <a:stretch>
          <a:fillRect/>
        </a:stretch>
      </xdr:blipFill>
      <xdr:spPr>
        <a:xfrm>
          <a:off x="30670500" y="14450786"/>
          <a:ext cx="11742857" cy="83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276225</xdr:colOff>
      <xdr:row>2</xdr:row>
      <xdr:rowOff>104775</xdr:rowOff>
    </xdr:from>
    <xdr:to>
      <xdr:col>15</xdr:col>
      <xdr:colOff>112892</xdr:colOff>
      <xdr:row>52</xdr:row>
      <xdr:rowOff>27573</xdr:rowOff>
    </xdr:to>
    <xdr:pic>
      <xdr:nvPicPr>
        <xdr:cNvPr id="2" name="Grafik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276225" y="266700"/>
          <a:ext cx="11266667" cy="8019048"/>
        </a:xfrm>
        <a:prstGeom prst="rect">
          <a:avLst/>
        </a:prstGeom>
      </xdr:spPr>
    </xdr:pic>
    <xdr:clientData/>
  </xdr:twoCellAnchor>
  <xdr:twoCellAnchor editAs="oneCell">
    <xdr:from>
      <xdr:col>15</xdr:col>
      <xdr:colOff>752475</xdr:colOff>
      <xdr:row>2</xdr:row>
      <xdr:rowOff>133350</xdr:rowOff>
    </xdr:from>
    <xdr:to>
      <xdr:col>25</xdr:col>
      <xdr:colOff>722951</xdr:colOff>
      <xdr:row>40</xdr:row>
      <xdr:rowOff>46867</xdr:rowOff>
    </xdr:to>
    <xdr:pic>
      <xdr:nvPicPr>
        <xdr:cNvPr id="3" name="Grafik 2">
          <a:hlinkClick xmlns:r="http://schemas.openxmlformats.org/officeDocument/2006/relationships" r:id="rId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
        <a:stretch>
          <a:fillRect/>
        </a:stretch>
      </xdr:blipFill>
      <xdr:spPr>
        <a:xfrm>
          <a:off x="12182475" y="295275"/>
          <a:ext cx="7590476" cy="6066667"/>
        </a:xfrm>
        <a:prstGeom prst="rect">
          <a:avLst/>
        </a:prstGeom>
      </xdr:spPr>
    </xdr:pic>
    <xdr:clientData/>
  </xdr:twoCellAnchor>
  <xdr:twoCellAnchor editAs="oneCell">
    <xdr:from>
      <xdr:col>1</xdr:col>
      <xdr:colOff>201386</xdr:colOff>
      <xdr:row>57</xdr:row>
      <xdr:rowOff>87086</xdr:rowOff>
    </xdr:from>
    <xdr:to>
      <xdr:col>11</xdr:col>
      <xdr:colOff>365217</xdr:colOff>
      <xdr:row>84</xdr:row>
      <xdr:rowOff>77833</xdr:rowOff>
    </xdr:to>
    <xdr:pic>
      <xdr:nvPicPr>
        <xdr:cNvPr id="4" name="Grafik 3" descr="Sie wollen ihre Heizung austauschen">
          <a:hlinkClick xmlns:r="http://schemas.openxmlformats.org/officeDocument/2006/relationships" r:id="rId5"/>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0729" y="9688286"/>
          <a:ext cx="7457259" cy="4252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19</xdr:col>
      <xdr:colOff>609600</xdr:colOff>
      <xdr:row>19</xdr:row>
      <xdr:rowOff>76200</xdr:rowOff>
    </xdr:from>
    <xdr:ext cx="780952" cy="438095"/>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3563600" y="3695700"/>
          <a:ext cx="780952" cy="438095"/>
        </a:xfrm>
        <a:prstGeom prst="rect">
          <a:avLst/>
        </a:prstGeom>
      </xdr:spPr>
    </xdr:pic>
    <xdr:clientData/>
  </xdr:oneCellAnchor>
  <xdr:oneCellAnchor>
    <xdr:from>
      <xdr:col>18</xdr:col>
      <xdr:colOff>657225</xdr:colOff>
      <xdr:row>22</xdr:row>
      <xdr:rowOff>9525</xdr:rowOff>
    </xdr:from>
    <xdr:ext cx="3876190" cy="409524"/>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2849225" y="4200525"/>
          <a:ext cx="3876190" cy="409524"/>
        </a:xfrm>
        <a:prstGeom prst="rect">
          <a:avLst/>
        </a:prstGeom>
      </xdr:spPr>
    </xdr:pic>
    <xdr:clientData/>
  </xdr:oneCellAnchor>
  <xdr:twoCellAnchor editAs="oneCell">
    <xdr:from>
      <xdr:col>17</xdr:col>
      <xdr:colOff>197069</xdr:colOff>
      <xdr:row>143</xdr:row>
      <xdr:rowOff>135760</xdr:rowOff>
    </xdr:from>
    <xdr:to>
      <xdr:col>22</xdr:col>
      <xdr:colOff>226585</xdr:colOff>
      <xdr:row>162</xdr:row>
      <xdr:rowOff>44890</xdr:rowOff>
    </xdr:to>
    <xdr:pic>
      <xdr:nvPicPr>
        <xdr:cNvPr id="9" name="Grafik 8" descr="Hydraulischer Abgleich - Auslegungstemperaturen">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16103" y="23586967"/>
          <a:ext cx="4566482" cy="311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125507</xdr:colOff>
      <xdr:row>101</xdr:row>
      <xdr:rowOff>140369</xdr:rowOff>
    </xdr:from>
    <xdr:to>
      <xdr:col>29</xdr:col>
      <xdr:colOff>428811</xdr:colOff>
      <xdr:row>130</xdr:row>
      <xdr:rowOff>104086</xdr:rowOff>
    </xdr:to>
    <xdr:pic>
      <xdr:nvPicPr>
        <xdr:cNvPr id="10" name="Grafik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stretch>
          <a:fillRect/>
        </a:stretch>
      </xdr:blipFill>
      <xdr:spPr>
        <a:xfrm>
          <a:off x="14065625" y="21651181"/>
          <a:ext cx="8147421" cy="4656740"/>
        </a:xfrm>
        <a:prstGeom prst="rect">
          <a:avLst/>
        </a:prstGeom>
      </xdr:spPr>
    </xdr:pic>
    <xdr:clientData/>
  </xdr:twoCellAnchor>
  <xdr:twoCellAnchor editAs="oneCell">
    <xdr:from>
      <xdr:col>19</xdr:col>
      <xdr:colOff>658</xdr:colOff>
      <xdr:row>162</xdr:row>
      <xdr:rowOff>67238</xdr:rowOff>
    </xdr:from>
    <xdr:to>
      <xdr:col>24</xdr:col>
      <xdr:colOff>527426</xdr:colOff>
      <xdr:row>178</xdr:row>
      <xdr:rowOff>96082</xdr:rowOff>
    </xdr:to>
    <xdr:pic>
      <xdr:nvPicPr>
        <xdr:cNvPr id="11" name="Grafik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
        <a:stretch>
          <a:fillRect/>
        </a:stretch>
      </xdr:blipFill>
      <xdr:spPr>
        <a:xfrm>
          <a:off x="13878583" y="26203838"/>
          <a:ext cx="4432018" cy="3916725"/>
        </a:xfrm>
        <a:prstGeom prst="rect">
          <a:avLst/>
        </a:prstGeom>
      </xdr:spPr>
    </xdr:pic>
    <xdr:clientData/>
  </xdr:twoCellAnchor>
  <xdr:twoCellAnchor editAs="oneCell">
    <xdr:from>
      <xdr:col>10</xdr:col>
      <xdr:colOff>58270</xdr:colOff>
      <xdr:row>118</xdr:row>
      <xdr:rowOff>22412</xdr:rowOff>
    </xdr:from>
    <xdr:to>
      <xdr:col>19</xdr:col>
      <xdr:colOff>13193</xdr:colOff>
      <xdr:row>140</xdr:row>
      <xdr:rowOff>144106</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6"/>
        <a:stretch>
          <a:fillRect/>
        </a:stretch>
      </xdr:blipFill>
      <xdr:spPr>
        <a:xfrm>
          <a:off x="6871446" y="24316765"/>
          <a:ext cx="7081865" cy="3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896C~1.PET/AppData/Local/Temp/DE_SMART_SPP_LCC_CO2_tool_v1-5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ngbu/AppData/Roaming/Microsoft/Excel/Gradtagzahlen-Deutschland%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lm/AppData/Local/Temp/Berechnung%20f&#252;r%20Energiestr&#246;m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ngbu/Dropbox/VZ/20210727%20Heizung%20uebersicht%20&#246;ff.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ngbu/Dropbox/VZ/20220127%20Heizung%20Mobilitaet%20uebersich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nleitung"/>
      <sheetName val="Hauptseite"/>
      <sheetName val="LCC_Diagramme"/>
      <sheetName val="CO2_Diagramme"/>
      <sheetName val="Angebotsbewertung"/>
      <sheetName val="Umrechnungsfaktoren"/>
      <sheetName val="Glossar"/>
      <sheetName val="Emissionsfaktoren"/>
      <sheetName val="Regelmäßige Investitionen"/>
      <sheetName val="Betrieb"/>
      <sheetName val="Wartung"/>
      <sheetName val="CO2"/>
      <sheetName val="Jährliche LCC-Berechnung"/>
      <sheetName val="calc_CO2"/>
      <sheetName val="diverse"/>
      <sheetName val="MemoQi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F4" t="str">
            <v>[AUSWÄHLEN]</v>
          </cell>
          <cell r="M4" t="str">
            <v>keine Angabe</v>
          </cell>
        </row>
        <row r="5">
          <cell r="F5" t="str">
            <v>Belgien</v>
          </cell>
          <cell r="J5" t="str">
            <v>k.A.</v>
          </cell>
          <cell r="M5">
            <v>1</v>
          </cell>
        </row>
        <row r="6">
          <cell r="F6" t="str">
            <v>Bulgarien</v>
          </cell>
          <cell r="J6" t="str">
            <v>Produkt A</v>
          </cell>
          <cell r="M6">
            <v>2</v>
          </cell>
        </row>
        <row r="7">
          <cell r="F7" t="str">
            <v>Dänemark</v>
          </cell>
          <cell r="J7" t="str">
            <v>Produkt B</v>
          </cell>
          <cell r="M7">
            <v>3</v>
          </cell>
        </row>
        <row r="8">
          <cell r="F8" t="str">
            <v>Deutschland</v>
          </cell>
          <cell r="J8" t="str">
            <v>Produkt C</v>
          </cell>
          <cell r="M8">
            <v>4</v>
          </cell>
        </row>
        <row r="9">
          <cell r="F9" t="str">
            <v>Estland</v>
          </cell>
          <cell r="J9" t="str">
            <v>Produkt D</v>
          </cell>
          <cell r="M9">
            <v>5</v>
          </cell>
        </row>
        <row r="10">
          <cell r="F10" t="str">
            <v>Finnland</v>
          </cell>
          <cell r="J10" t="str">
            <v>Produkt E</v>
          </cell>
          <cell r="M10">
            <v>6</v>
          </cell>
        </row>
        <row r="11">
          <cell r="F11" t="str">
            <v>Frankreich</v>
          </cell>
          <cell r="J11" t="str">
            <v>Produkt F</v>
          </cell>
          <cell r="M11">
            <v>7</v>
          </cell>
        </row>
        <row r="12">
          <cell r="F12" t="str">
            <v>Griechenland</v>
          </cell>
          <cell r="J12" t="str">
            <v>Produkt G</v>
          </cell>
          <cell r="M12">
            <v>8</v>
          </cell>
        </row>
        <row r="13">
          <cell r="F13" t="str">
            <v>Irland</v>
          </cell>
          <cell r="J13" t="str">
            <v>Produkt H</v>
          </cell>
          <cell r="M13">
            <v>9</v>
          </cell>
        </row>
        <row r="14">
          <cell r="F14" t="str">
            <v>Italien</v>
          </cell>
          <cell r="J14" t="str">
            <v>Produkt I</v>
          </cell>
          <cell r="M14">
            <v>10</v>
          </cell>
        </row>
        <row r="15">
          <cell r="F15" t="str">
            <v>Lettland</v>
          </cell>
          <cell r="J15" t="str">
            <v>Produkt J</v>
          </cell>
          <cell r="M15">
            <v>11</v>
          </cell>
        </row>
        <row r="16">
          <cell r="F16" t="str">
            <v>Litauen</v>
          </cell>
          <cell r="J16" t="str">
            <v>Produkt K</v>
          </cell>
          <cell r="M16">
            <v>12</v>
          </cell>
        </row>
        <row r="17">
          <cell r="F17" t="str">
            <v>Luxemburg</v>
          </cell>
          <cell r="J17" t="str">
            <v>Produkt L</v>
          </cell>
          <cell r="M17">
            <v>13</v>
          </cell>
        </row>
        <row r="18">
          <cell r="F18" t="str">
            <v>Malta</v>
          </cell>
          <cell r="J18" t="str">
            <v>Produkt M</v>
          </cell>
          <cell r="M18">
            <v>14</v>
          </cell>
        </row>
        <row r="19">
          <cell r="F19" t="str">
            <v>Niederlande</v>
          </cell>
          <cell r="J19" t="str">
            <v>Produkt N</v>
          </cell>
          <cell r="M19">
            <v>15</v>
          </cell>
        </row>
        <row r="20">
          <cell r="F20" t="str">
            <v>Österreich</v>
          </cell>
          <cell r="J20" t="str">
            <v>Produkt O</v>
          </cell>
          <cell r="M20">
            <v>16</v>
          </cell>
        </row>
        <row r="21">
          <cell r="F21" t="str">
            <v>Polen</v>
          </cell>
          <cell r="M21">
            <v>17</v>
          </cell>
        </row>
        <row r="22">
          <cell r="F22" t="str">
            <v>Portugal</v>
          </cell>
          <cell r="M22">
            <v>18</v>
          </cell>
        </row>
        <row r="23">
          <cell r="F23" t="str">
            <v>Rumänien</v>
          </cell>
          <cell r="M23">
            <v>19</v>
          </cell>
        </row>
        <row r="24">
          <cell r="F24" t="str">
            <v>Schweden</v>
          </cell>
          <cell r="M24">
            <v>20</v>
          </cell>
        </row>
        <row r="25">
          <cell r="F25" t="str">
            <v>Slowakei</v>
          </cell>
          <cell r="M25">
            <v>21</v>
          </cell>
        </row>
        <row r="26">
          <cell r="F26" t="str">
            <v>Slowenien</v>
          </cell>
          <cell r="M26">
            <v>22</v>
          </cell>
        </row>
        <row r="27">
          <cell r="F27" t="str">
            <v>Spanien</v>
          </cell>
          <cell r="M27">
            <v>23</v>
          </cell>
        </row>
        <row r="28">
          <cell r="F28" t="str">
            <v>Tschechische Republik</v>
          </cell>
          <cell r="M28">
            <v>24</v>
          </cell>
        </row>
        <row r="29">
          <cell r="F29" t="str">
            <v>Ungarn</v>
          </cell>
          <cell r="M29">
            <v>25</v>
          </cell>
        </row>
        <row r="30">
          <cell r="F30" t="str">
            <v>Vereinigtes Königreich</v>
          </cell>
        </row>
        <row r="31">
          <cell r="F31" t="str">
            <v>Zypern</v>
          </cell>
        </row>
        <row r="32">
          <cell r="F32" t="str">
            <v>Anderes Land</v>
          </cell>
        </row>
      </sheetData>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UserForm"/>
      <sheetName val="Info"/>
      <sheetName val="Calc.Evaluation"/>
      <sheetName val="Tab.StationMapping"/>
      <sheetName val="List.Station.TA"/>
      <sheetName val="List.Exclude.Station.TA"/>
      <sheetName val="Data.TA.HD"/>
      <sheetName val="Data.Sol"/>
      <sheetName val="Tab.Estim.Sol.Orient"/>
    </sheetNames>
    <sheetDataSet>
      <sheetData sheetId="0"/>
      <sheetData sheetId="1">
        <row r="10">
          <cell r="AI10">
            <v>1</v>
          </cell>
        </row>
        <row r="12">
          <cell r="AI12">
            <v>2</v>
          </cell>
        </row>
      </sheetData>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bäude"/>
      <sheetName val="Standardwerte Klima"/>
    </sheetNames>
    <sheetDataSet>
      <sheetData sheetId="0" refreshError="1"/>
      <sheetData sheetId="1">
        <row r="6">
          <cell r="O6" t="str">
            <v>aktuell</v>
          </cell>
        </row>
        <row r="8">
          <cell r="O8">
            <v>3.5507499999999999</v>
          </cell>
        </row>
        <row r="12">
          <cell r="O12">
            <v>15</v>
          </cell>
        </row>
        <row r="14">
          <cell r="O14">
            <v>275</v>
          </cell>
        </row>
        <row r="17">
          <cell r="O17">
            <v>86.4</v>
          </cell>
        </row>
        <row r="18">
          <cell r="O18">
            <v>82.08</v>
          </cell>
        </row>
        <row r="21">
          <cell r="N21" t="str">
            <v>H</v>
          </cell>
          <cell r="O21">
            <v>745</v>
          </cell>
        </row>
        <row r="22">
          <cell r="N22" t="str">
            <v>S</v>
          </cell>
          <cell r="O22">
            <v>584</v>
          </cell>
        </row>
        <row r="23">
          <cell r="N23" t="str">
            <v>SO/SW</v>
          </cell>
          <cell r="O23">
            <v>565</v>
          </cell>
        </row>
        <row r="24">
          <cell r="N24" t="str">
            <v>O/W</v>
          </cell>
          <cell r="O24">
            <v>480</v>
          </cell>
        </row>
        <row r="25">
          <cell r="N25" t="str">
            <v>NO/NW</v>
          </cell>
          <cell r="O25">
            <v>400</v>
          </cell>
        </row>
        <row r="26">
          <cell r="N26" t="str">
            <v>N</v>
          </cell>
          <cell r="O26">
            <v>295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Übersicht Förderungen Heizung"/>
      <sheetName val="Heizlast Bestand"/>
      <sheetName val="U-Wert vereinfacht"/>
      <sheetName val="Verschlechterungsverbot"/>
    </sheetNames>
    <sheetDataSet>
      <sheetData sheetId="0"/>
      <sheetData sheetId="1"/>
      <sheetData sheetId="2"/>
      <sheetData sheetId="3"/>
      <sheetData sheetId="4">
        <row r="190">
          <cell r="Q190">
            <v>0.26600000000000001</v>
          </cell>
        </row>
        <row r="193">
          <cell r="Q193">
            <v>0.20200000000000001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hydraulisch Abglei 190815"/>
      <sheetName val="Heiz Planung"/>
      <sheetName val="Planung"/>
      <sheetName val="Verschlechterungsverbot"/>
      <sheetName val="Co2 Daten Gemis"/>
      <sheetName val="Übersicht Förderungen Heizung"/>
      <sheetName val="Heizlast Bestand nach 12831"/>
      <sheetName val="Heizlast Bestand"/>
      <sheetName val="Heizlast Neubau"/>
      <sheetName val="Kühllast Neubau"/>
      <sheetName val="Kühlung"/>
      <sheetName val="WP Sonde Kollektor"/>
      <sheetName val="U-Wert vereinfacht"/>
      <sheetName val="PV 09.06"/>
      <sheetName val="Laden 09.06"/>
      <sheetName val="Kindgerecht-nicht nach öff Hand"/>
    </sheetNames>
    <sheetDataSet>
      <sheetData sheetId="0">
        <row r="84">
          <cell r="AR84">
            <v>187.5</v>
          </cell>
        </row>
        <row r="86">
          <cell r="AR86" t="str">
            <v>Eine sinnvollere Bewertung (anstelle des Energieausweises nach fiktiver Wohnfläche und Referenzstandort Potsdam) wäre nach Personenbelegung (übliche Nutzung), hier 2 Personen durch Verbrauch 30000kWh, sind 15000 kWh pro Person. Am besten wäre noch mit CO² bewerten und der tatsächlichen beheizten Wohnfläche / Nutzfläche… Fertig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oekobaudat.de/OEKOBAU.DAT/datasetdetail/process.xhtml?uuid=fb11f8ce-d3c7-4823-ba13-0c1f4a304799&amp;version=20.19.120&amp;stock=OBD_2021_II&amp;lang=de" TargetMode="External"/><Relationship Id="rId13" Type="http://schemas.openxmlformats.org/officeDocument/2006/relationships/hyperlink" Target="https://www.umweltbundesamt.de/daten/umwelt-wirtschaft/gesellschaftliche-kosten-von-umweltbelastungen" TargetMode="External"/><Relationship Id="rId18" Type="http://schemas.openxmlformats.org/officeDocument/2006/relationships/drawing" Target="../drawings/drawing1.xml"/><Relationship Id="rId3" Type="http://schemas.openxmlformats.org/officeDocument/2006/relationships/hyperlink" Target="https://www.viessmann.de/de/wohngebaeude/waermepumpe/eis-energiespeicher.html" TargetMode="External"/><Relationship Id="rId7" Type="http://schemas.openxmlformats.org/officeDocument/2006/relationships/hyperlink" Target="https://oekobaudat.de/OEKOBAU.DAT/datasetdetail/process.xhtml?uuid=04ec8cf9-da57-4201-8d4d-02071e7be09f&amp;version=20.19.120&amp;stock=OBD_2021_II&amp;lang=de" TargetMode="External"/><Relationship Id="rId12" Type="http://schemas.openxmlformats.org/officeDocument/2006/relationships/hyperlink" Target="https://oekobaudat.de/OEKOBAU.DAT/datasetdetail/process.xhtml?uuid=fb11f8ce-d3c7-4823-ba13-0c1f4a304799&amp;version=20.19.120&amp;stock=OBD_2021_II&amp;lang=de" TargetMode="External"/><Relationship Id="rId17" Type="http://schemas.openxmlformats.org/officeDocument/2006/relationships/printerSettings" Target="../printerSettings/printerSettings1.bin"/><Relationship Id="rId2" Type="http://schemas.openxmlformats.org/officeDocument/2006/relationships/hyperlink" Target="https://www.stromspiegel.de/fileadmin/ssi/stromspiegel/Broschuere/stromspiegel-2021.pdf" TargetMode="External"/><Relationship Id="rId16" Type="http://schemas.openxmlformats.org/officeDocument/2006/relationships/hyperlink" Target="https://www.ihk.de/themen/umwelt-und-energie/co2-preisrechner" TargetMode="External"/><Relationship Id="rId1" Type="http://schemas.openxmlformats.org/officeDocument/2006/relationships/hyperlink" Target="https://www.co2online.de/fileadmin/hs/heizspiegel/heizspiegel-2020/heizspiegel-2020.pdf" TargetMode="External"/><Relationship Id="rId6" Type="http://schemas.openxmlformats.org/officeDocument/2006/relationships/hyperlink" Target="https://oekobaudat.de/OEKOBAU.DAT/datasetdetail/process.xhtml?uuid=04ec8cf9-da57-4201-8d4d-02071e7be09f&amp;version=20.19.120&amp;stock=OBD_2021_II&amp;lang=de" TargetMode="External"/><Relationship Id="rId11" Type="http://schemas.openxmlformats.org/officeDocument/2006/relationships/hyperlink" Target="https://oekobaudat.de/OEKOBAU.DAT/datasetdetail/process.xhtml?uuid=63854c13-11d1-4f97-ad97-052ecd3e6e3d&amp;version=20.19.120&amp;stock=OBD_2021_II&amp;lang=de" TargetMode="External"/><Relationship Id="rId5" Type="http://schemas.openxmlformats.org/officeDocument/2006/relationships/hyperlink" Target="https://oekobaudat.de/OEKOBAU.DAT/datasetdetail/process.xhtml?uuid=6167bec3-0bc2-425a-9c87-479fa310f8f2&amp;version=20.19.120&amp;stock=OBD_2021_II&amp;lang=de" TargetMode="External"/><Relationship Id="rId15" Type="http://schemas.openxmlformats.org/officeDocument/2006/relationships/hyperlink" Target="https://www.geg-info.de/geg/anlage_09_geg_umrechnung_treibhausgasemmissionen.pdf" TargetMode="External"/><Relationship Id="rId10" Type="http://schemas.openxmlformats.org/officeDocument/2006/relationships/hyperlink" Target="https://oekobaudat.de/OEKOBAU.DAT/datasetdetail/process.xhtml?uuid=6167bec3-0bc2-425a-9c87-479fa310f8f2&amp;version=20.19.120&amp;stock=OBD_2021_II&amp;lang=de" TargetMode="External"/><Relationship Id="rId4" Type="http://schemas.openxmlformats.org/officeDocument/2006/relationships/hyperlink" Target="https://h2.live/fahren/" TargetMode="External"/><Relationship Id="rId9" Type="http://schemas.openxmlformats.org/officeDocument/2006/relationships/hyperlink" Target="https://oekobaudat.de/OEKOBAU.DAT/datasetdetail/process.xhtml?uuid=fb11f8ce-d3c7-4823-ba13-0c1f4a304799&amp;version=20.19.120&amp;stock=OBD_2021_II&amp;lang=de" TargetMode="External"/><Relationship Id="rId14" Type="http://schemas.openxmlformats.org/officeDocument/2006/relationships/hyperlink" Target="https://www.nachhaltigesbauen.de/fileadmin/pdf/QNG-BEG/Brosch%C3%BCre_QNG-Wohngeb%C3%A4ude_2021-12-01.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ihk.de/themen/umwelt-und-energie/co2-preisrechner" TargetMode="External"/><Relationship Id="rId1" Type="http://schemas.openxmlformats.org/officeDocument/2006/relationships/hyperlink" Target="http://www.bgbl.de/xaver/bgbl/start.xav?startbk=Bundesanzeiger_BGBl&amp;jumpTo=bgbl120s1728.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verbraucherzentrale.nrw/wissen/energie/erneuerbare-energien/heizungsfoerderung-fuer-bestandsgebaeude-heizen-mit-erneuerbaren-10773" TargetMode="External"/><Relationship Id="rId2" Type="http://schemas.openxmlformats.org/officeDocument/2006/relationships/hyperlink" Target="https://www.ifbhh.de/programme/privatkunden/eigenheim-modernisieren/energetisch-modernisieren-privat/erneuerbare-waerme" TargetMode="External"/><Relationship Id="rId1" Type="http://schemas.openxmlformats.org/officeDocument/2006/relationships/hyperlink" Target="https://www.bafa.de/DE/Energie/Effiziente_Gebaeude/effiziente_gebaeude_node.html"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www.stiebel-eltron.de/toolbox/heizla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E0D42-B69C-4D38-8C9B-3E1AC19E08C6}">
  <sheetPr>
    <tabColor rgb="FFFF3300"/>
    <pageSetUpPr fitToPage="1"/>
  </sheetPr>
  <dimension ref="A1:BU165"/>
  <sheetViews>
    <sheetView showGridLines="0" tabSelected="1" topLeftCell="S83" zoomScaleNormal="100" workbookViewId="0">
      <selection activeCell="Y85" sqref="Y85"/>
    </sheetView>
  </sheetViews>
  <sheetFormatPr baseColWidth="10" defaultColWidth="11.5546875" defaultRowHeight="12.3"/>
  <cols>
    <col min="1" max="1" width="2.1640625" customWidth="1"/>
    <col min="2" max="2" width="4" style="1" customWidth="1"/>
    <col min="3" max="3" width="17.44140625" style="1" customWidth="1"/>
    <col min="4" max="4" width="5.71875" style="1" customWidth="1"/>
    <col min="5" max="6" width="35.27734375" style="1" customWidth="1"/>
    <col min="7" max="7" width="6.71875" style="1" customWidth="1"/>
    <col min="8" max="8" width="2.27734375" style="1" customWidth="1"/>
    <col min="9" max="9" width="6.71875" style="1" customWidth="1"/>
    <col min="10" max="10" width="9.71875" style="1" customWidth="1"/>
    <col min="11" max="11" width="10.5546875" style="1" customWidth="1"/>
    <col min="12" max="13" width="10.71875" style="1" customWidth="1"/>
    <col min="14" max="14" width="2.83203125" customWidth="1"/>
    <col min="15" max="15" width="25.71875" style="1" bestFit="1" customWidth="1"/>
    <col min="16" max="16" width="9.1640625" style="1" customWidth="1"/>
    <col min="17" max="17" width="6" style="7" customWidth="1"/>
    <col min="18" max="18" width="5.71875" style="1" customWidth="1"/>
    <col min="19" max="19" width="20.71875" style="1" customWidth="1"/>
    <col min="20" max="20" width="5.0546875" style="1" customWidth="1"/>
    <col min="21" max="21" width="10.5546875" style="1" customWidth="1"/>
    <col min="22" max="22" width="18.94140625" style="1" customWidth="1"/>
    <col min="23" max="23" width="26.83203125" style="1" customWidth="1"/>
    <col min="24" max="27" width="18.94140625" style="1" customWidth="1"/>
    <col min="28" max="28" width="10.27734375" style="1" customWidth="1"/>
    <col min="29" max="29" width="15.71875" style="1" customWidth="1"/>
    <col min="30" max="30" width="12.44140625" style="1" customWidth="1"/>
    <col min="31" max="31" width="15.71875" style="1" customWidth="1"/>
    <col min="32" max="32" width="8.5546875" style="1" customWidth="1"/>
    <col min="33" max="33" width="2.1640625" style="1" customWidth="1"/>
    <col min="34" max="34" width="4" style="1" customWidth="1"/>
    <col min="35" max="35" width="7.109375" style="1" customWidth="1"/>
    <col min="36" max="36" width="13.1640625" style="1" customWidth="1"/>
    <col min="37" max="37" width="14.71875" style="1" customWidth="1"/>
    <col min="38" max="38" width="2.1640625" customWidth="1"/>
    <col min="39" max="39" width="7" style="1" customWidth="1"/>
    <col min="40" max="40" width="2.5546875" style="1" customWidth="1"/>
    <col min="41" max="41" width="7.71875" style="1" customWidth="1"/>
    <col min="42" max="42" width="22.27734375" style="295" customWidth="1"/>
    <col min="43" max="43" width="11.5546875" style="1"/>
    <col min="44" max="44" width="12.83203125" style="1" customWidth="1"/>
    <col min="45" max="47" width="11.5546875" style="1"/>
    <col min="48" max="51" width="14.27734375" style="1" customWidth="1"/>
    <col min="52" max="16384" width="11.5546875" style="1"/>
  </cols>
  <sheetData>
    <row r="1" spans="2:60" customFormat="1" ht="18.3">
      <c r="C1" s="388" t="s">
        <v>347</v>
      </c>
    </row>
    <row r="2" spans="2:60" customFormat="1">
      <c r="C2" t="s">
        <v>373</v>
      </c>
      <c r="F2" s="1"/>
      <c r="I2" s="1"/>
      <c r="J2" s="1"/>
      <c r="K2" s="1"/>
      <c r="L2" t="s">
        <v>367</v>
      </c>
      <c r="M2" s="1"/>
    </row>
    <row r="3" spans="2:60" customFormat="1">
      <c r="B3" t="s">
        <v>226</v>
      </c>
      <c r="C3" t="s">
        <v>239</v>
      </c>
      <c r="I3" s="1"/>
      <c r="J3" s="1"/>
      <c r="K3" s="1"/>
      <c r="L3" s="1" t="s">
        <v>365</v>
      </c>
      <c r="M3" s="1"/>
      <c r="U3" t="s">
        <v>364</v>
      </c>
      <c r="AK3" t="s">
        <v>363</v>
      </c>
      <c r="AP3" s="72"/>
      <c r="AQ3" s="389"/>
      <c r="AR3" s="389"/>
      <c r="AS3" s="389"/>
      <c r="AT3" s="389"/>
      <c r="AU3" s="389"/>
      <c r="AV3" s="389"/>
      <c r="AW3" s="72"/>
      <c r="AX3" s="72"/>
    </row>
    <row r="4" spans="2:60" customFormat="1">
      <c r="C4" t="s">
        <v>240</v>
      </c>
      <c r="H4" s="1"/>
      <c r="I4" s="1"/>
      <c r="J4" s="1"/>
      <c r="K4" s="1"/>
      <c r="L4" s="1"/>
      <c r="M4" s="1"/>
      <c r="AK4" s="72"/>
      <c r="AL4" s="72"/>
      <c r="AM4" s="72"/>
      <c r="AN4" s="72"/>
      <c r="AO4" s="72"/>
      <c r="AP4" s="72"/>
      <c r="AQ4" s="72"/>
      <c r="AR4" s="72"/>
      <c r="AS4" s="75"/>
      <c r="AT4" s="75"/>
      <c r="AU4" s="75"/>
      <c r="AV4" s="75"/>
      <c r="AW4" s="75"/>
      <c r="AX4" s="75"/>
    </row>
    <row r="5" spans="2:60" customFormat="1" ht="12.4" customHeight="1">
      <c r="C5" s="390" t="s">
        <v>241</v>
      </c>
      <c r="D5" s="391"/>
      <c r="E5" s="392"/>
      <c r="F5" s="393" t="s">
        <v>455</v>
      </c>
      <c r="H5" s="1"/>
      <c r="I5" s="1"/>
      <c r="J5" s="1"/>
      <c r="K5" s="1"/>
      <c r="L5" s="1"/>
      <c r="M5" s="1"/>
      <c r="AJ5" s="75"/>
      <c r="AK5" s="75"/>
      <c r="AL5" s="75"/>
      <c r="AM5" s="75"/>
      <c r="AN5" s="75"/>
      <c r="AO5" s="75"/>
      <c r="AP5" s="75"/>
      <c r="AQ5" s="75"/>
      <c r="AR5" s="75"/>
      <c r="AS5" s="75"/>
      <c r="AT5" s="75"/>
      <c r="AU5" s="75"/>
      <c r="AV5" s="75"/>
      <c r="AW5" s="75"/>
      <c r="AX5" s="75"/>
    </row>
    <row r="6" spans="2:60" customFormat="1">
      <c r="C6" s="394"/>
      <c r="D6" s="395"/>
      <c r="E6" s="396"/>
      <c r="F6" s="393"/>
      <c r="H6" s="1"/>
      <c r="I6" s="1"/>
      <c r="J6" s="1"/>
      <c r="K6" s="1"/>
      <c r="L6" s="1"/>
      <c r="M6" s="1"/>
      <c r="AJ6" s="75"/>
      <c r="AK6" s="389"/>
      <c r="AL6" s="389"/>
      <c r="AM6" s="389"/>
      <c r="AN6" s="389"/>
      <c r="AO6" s="389"/>
      <c r="AP6" s="389"/>
      <c r="AQ6" s="389"/>
      <c r="AR6" s="389"/>
      <c r="AS6" s="389"/>
      <c r="AT6" s="75"/>
      <c r="AU6" s="75"/>
      <c r="AV6" s="75"/>
      <c r="AW6" s="75"/>
      <c r="AX6" s="75"/>
      <c r="AY6" s="75"/>
      <c r="AZ6" s="75"/>
      <c r="BA6" s="75"/>
      <c r="BB6" s="75"/>
      <c r="BC6" s="75"/>
      <c r="BD6" s="75"/>
      <c r="BE6" s="75"/>
      <c r="BF6" s="75"/>
      <c r="BG6" s="75"/>
      <c r="BH6" s="75"/>
    </row>
    <row r="7" spans="2:60" customFormat="1" ht="14.5" customHeight="1">
      <c r="C7" s="397"/>
      <c r="D7" s="398"/>
      <c r="E7" s="399"/>
      <c r="F7" s="393"/>
      <c r="H7" s="1"/>
      <c r="I7" s="1"/>
      <c r="J7" s="1"/>
      <c r="K7" s="1"/>
      <c r="L7" s="1"/>
      <c r="M7" s="1"/>
      <c r="AJ7" s="75"/>
      <c r="AK7" s="389" t="str">
        <f>IF(E12=AR10,CONCATENATE(E12," ",E8*AY129,"kg / ",(E8*AY129)/1000," t CO2 eq"),CONCATENATE(E8*AY130,"kg /",(E8*AY130)/1000,"t CO2 eq"))</f>
        <v>8100kg /8,1t CO2 eq</v>
      </c>
      <c r="AL7" s="389" t="s">
        <v>242</v>
      </c>
      <c r="AM7" s="389"/>
      <c r="AN7" s="389"/>
      <c r="AO7" s="389"/>
      <c r="AP7" s="389"/>
      <c r="AQ7" s="389"/>
      <c r="AR7" s="389"/>
      <c r="AS7" s="389"/>
      <c r="AT7" s="72"/>
      <c r="AU7" s="72"/>
      <c r="AV7" s="75"/>
      <c r="AW7" s="75"/>
      <c r="AX7" s="75"/>
      <c r="AY7" s="75"/>
      <c r="AZ7" s="75"/>
      <c r="BA7" s="75"/>
      <c r="BB7" s="75"/>
      <c r="BC7" s="75"/>
      <c r="BD7" s="75"/>
      <c r="BE7" s="75"/>
      <c r="BF7" s="75"/>
      <c r="BG7" s="75"/>
      <c r="BH7" s="75"/>
    </row>
    <row r="8" spans="2:60" customFormat="1" ht="26.1" customHeight="1">
      <c r="C8" s="400" t="str">
        <f>_xlfn.XLOOKUP(C5,AK8:AK10,AL8:AL10)</f>
        <v xml:space="preserve">(c) Verbrauch </v>
      </c>
      <c r="D8" s="401"/>
      <c r="E8" s="402">
        <v>30000</v>
      </c>
      <c r="F8" s="403" t="str">
        <f>CONCATENATE(_xlfn.XLOOKUP(C5,AK8:AK10,AN8:AN10))</f>
        <v>kWh -&gt; Nur wenn Wärme &amp; Warmwasser zusammen (über ein Medium) bereitet werden! Sonst nach Energieazsweis!!!</v>
      </c>
      <c r="G8" s="404"/>
      <c r="H8" s="404"/>
      <c r="I8" s="404"/>
      <c r="J8" s="404"/>
      <c r="AJ8" s="75"/>
      <c r="AK8" s="405" t="s">
        <v>243</v>
      </c>
      <c r="AL8" s="389" t="s">
        <v>366</v>
      </c>
      <c r="AM8" s="389">
        <v>100</v>
      </c>
      <c r="AN8" s="389" t="s">
        <v>244</v>
      </c>
      <c r="AO8" s="389" t="s">
        <v>245</v>
      </c>
      <c r="AP8" s="389">
        <v>346</v>
      </c>
      <c r="AQ8" s="389" t="s">
        <v>246</v>
      </c>
      <c r="AR8" s="389" t="s">
        <v>247</v>
      </c>
      <c r="AS8" s="389" t="s">
        <v>247</v>
      </c>
      <c r="AT8" s="72" t="s">
        <v>247</v>
      </c>
      <c r="AU8" s="72" t="s">
        <v>248</v>
      </c>
      <c r="AV8" s="75" t="s">
        <v>249</v>
      </c>
      <c r="AW8" s="75"/>
      <c r="AX8" s="75"/>
      <c r="AY8" s="75"/>
      <c r="AZ8" s="75"/>
      <c r="BA8" s="75"/>
      <c r="BB8" s="75"/>
      <c r="BC8" s="75"/>
      <c r="BD8" s="75"/>
      <c r="BE8" s="75"/>
      <c r="BF8" s="75"/>
      <c r="BG8" s="75"/>
      <c r="BH8" s="75"/>
    </row>
    <row r="9" spans="2:60" customFormat="1" ht="26.1" customHeight="1">
      <c r="C9" s="400" t="str">
        <f>_xlfn.XLOOKUP(C5,AK8:AK10,AO8:AO10)</f>
        <v>ÖL</v>
      </c>
      <c r="D9" s="401"/>
      <c r="E9" s="406">
        <f>_xlfn.XLOOKUP(C5,AK8:AK10,AP8:AP10)</f>
        <v>25500</v>
      </c>
      <c r="F9" s="72" t="str">
        <f>_xlfn.XLOOKUP(C5,AK8:AK10,AQ8:AQ10)</f>
        <v>kWh</v>
      </c>
      <c r="G9" s="72"/>
      <c r="H9" s="72"/>
      <c r="I9" s="72"/>
      <c r="J9" s="407"/>
      <c r="AJ9" s="75"/>
      <c r="AK9" s="405" t="s">
        <v>250</v>
      </c>
      <c r="AL9" s="389" t="s">
        <v>247</v>
      </c>
      <c r="AM9" s="389"/>
      <c r="AN9" s="389" t="s">
        <v>31</v>
      </c>
      <c r="AO9" s="389" t="s">
        <v>247</v>
      </c>
      <c r="AP9" s="389" t="s">
        <v>247</v>
      </c>
      <c r="AQ9" s="389" t="s">
        <v>247</v>
      </c>
      <c r="AR9" s="389" t="s">
        <v>247</v>
      </c>
      <c r="AS9" s="389" t="s">
        <v>247</v>
      </c>
      <c r="AT9" s="72" t="s">
        <v>247</v>
      </c>
      <c r="AU9" s="72" t="s">
        <v>4</v>
      </c>
      <c r="AV9" s="75" t="s">
        <v>251</v>
      </c>
      <c r="AW9" s="75"/>
      <c r="AX9" s="75"/>
      <c r="AY9" s="75"/>
      <c r="AZ9" s="75"/>
      <c r="BA9" s="75"/>
      <c r="BB9" s="75"/>
      <c r="BC9" s="75"/>
      <c r="BD9" s="75"/>
      <c r="BE9" s="75"/>
      <c r="BF9" s="75"/>
      <c r="BG9" s="75"/>
      <c r="BH9" s="75"/>
    </row>
    <row r="10" spans="2:60" customFormat="1" ht="14.4">
      <c r="C10" s="408" t="str">
        <f>_xlfn.XLOOKUP(C5,AK8:AK10,AR8:AR10)</f>
        <v>Gas</v>
      </c>
      <c r="D10" s="409"/>
      <c r="E10" s="410">
        <f>_xlfn.XLOOKUP(C5,AK8:AK10,AS8:AS10)</f>
        <v>27000</v>
      </c>
      <c r="F10" s="411" t="str">
        <f>_xlfn.XLOOKUP(C5,AK8:AK10,AT8:AT10)</f>
        <v>kWh</v>
      </c>
      <c r="G10" s="72"/>
      <c r="H10" s="72"/>
      <c r="I10" s="72"/>
      <c r="J10" s="407"/>
      <c r="AJ10" s="75"/>
      <c r="AK10" s="405" t="s">
        <v>241</v>
      </c>
      <c r="AL10" s="389" t="s">
        <v>252</v>
      </c>
      <c r="AM10" s="389">
        <f>E8</f>
        <v>30000</v>
      </c>
      <c r="AN10" s="389" t="s">
        <v>368</v>
      </c>
      <c r="AO10" s="389" t="s">
        <v>248</v>
      </c>
      <c r="AP10" s="389">
        <f>AM10*0.85</f>
        <v>25500</v>
      </c>
      <c r="AQ10" s="389" t="s">
        <v>31</v>
      </c>
      <c r="AR10" s="389" t="s">
        <v>4</v>
      </c>
      <c r="AS10" s="389">
        <f>AM10*0.9</f>
        <v>27000</v>
      </c>
      <c r="AT10" s="72" t="s">
        <v>31</v>
      </c>
      <c r="AU10" s="72"/>
      <c r="AV10" s="75"/>
      <c r="AW10" s="75"/>
      <c r="AX10" s="75"/>
      <c r="AY10" s="75"/>
      <c r="AZ10" s="75"/>
      <c r="BA10" s="75"/>
      <c r="BB10" s="75"/>
      <c r="BC10" s="75"/>
      <c r="BD10" s="75"/>
      <c r="BE10" s="75"/>
      <c r="BF10" s="75"/>
      <c r="BG10" s="75"/>
      <c r="BH10" s="75"/>
    </row>
    <row r="11" spans="2:60" customFormat="1">
      <c r="C11" s="412" t="str">
        <f>IF(AK8=C5,CONCATENATE(E8*E8," kWh"),IF(C5=AK10,CONCATENATE("ca. ",C9," ",ROUND(E8,0)," ",F9," oder ",C10," ",ROUND(E8,0)," ",F10," bei ",IF(E12=AR10,CONCATENATE(E12," sind es ",E8*AY129,"kg / ",(E8*AY129)/1000," t CO2 eq"),CONCATENATE(E8*AY130,"kg /",(E8*AY130)/1000,"t CO2 eq")))))</f>
        <v>ca. ÖL 30000 kWh oder Gas 30000 kWh bei 8100kg /8,1t CO2 eq</v>
      </c>
      <c r="D11" s="413"/>
      <c r="E11" s="414"/>
      <c r="F11" s="72"/>
      <c r="G11" s="72"/>
      <c r="H11" s="72"/>
      <c r="I11" s="72"/>
      <c r="J11" s="407"/>
      <c r="AJ11" s="75"/>
      <c r="AK11" s="389" t="s">
        <v>253</v>
      </c>
      <c r="AL11" s="389"/>
      <c r="AM11" s="389"/>
      <c r="AN11" s="389"/>
      <c r="AO11" s="389">
        <v>1</v>
      </c>
      <c r="AP11" s="389"/>
      <c r="AQ11" s="389"/>
      <c r="AR11" s="389"/>
      <c r="AS11" s="389" t="s">
        <v>254</v>
      </c>
      <c r="AT11" s="72"/>
      <c r="AU11" s="72"/>
      <c r="AV11" s="75"/>
      <c r="AW11" s="75"/>
      <c r="AX11" s="75"/>
      <c r="AY11" s="75"/>
      <c r="AZ11" s="75"/>
      <c r="BA11" s="75"/>
      <c r="BB11" s="75"/>
      <c r="BC11" s="75"/>
      <c r="BD11" s="75"/>
      <c r="BE11" s="75"/>
      <c r="BF11" s="75"/>
      <c r="BG11" s="75"/>
      <c r="BH11" s="75"/>
    </row>
    <row r="12" spans="2:60" customFormat="1" ht="12.4" customHeight="1">
      <c r="C12" s="415" t="str">
        <f>IF(C5=AK10,"Energieträger auswählen","")</f>
        <v>Energieträger auswählen</v>
      </c>
      <c r="D12" s="415"/>
      <c r="E12" s="406" t="s">
        <v>248</v>
      </c>
      <c r="F12" s="72" t="str">
        <f>IF(OR(E12=AU8,E12=AU9),"","Bitte Auswahl treffen")</f>
        <v/>
      </c>
      <c r="G12" s="416">
        <f>IF(H12=".",E9*E8,H12)</f>
        <v>18900</v>
      </c>
      <c r="H12" s="417">
        <v>18900</v>
      </c>
      <c r="I12" s="416"/>
      <c r="J12" s="416"/>
      <c r="AJ12" s="75"/>
      <c r="AK12" s="389"/>
      <c r="AL12" s="389"/>
      <c r="AM12" s="389"/>
      <c r="AN12" s="389"/>
      <c r="AO12" s="389"/>
      <c r="AP12" s="389"/>
      <c r="AQ12" s="389"/>
      <c r="AR12" s="389"/>
      <c r="AS12" s="389"/>
      <c r="AT12" s="75"/>
      <c r="AU12" s="75"/>
      <c r="AV12" s="75"/>
      <c r="AW12" s="75"/>
      <c r="AX12" s="75"/>
      <c r="AY12" s="75"/>
      <c r="AZ12" s="75"/>
      <c r="BA12" s="75"/>
      <c r="BB12" s="75"/>
      <c r="BC12" s="75"/>
      <c r="BD12" s="75"/>
      <c r="BE12" s="75"/>
      <c r="BF12" s="75"/>
      <c r="BG12" s="75"/>
      <c r="BH12" s="75"/>
    </row>
    <row r="13" spans="2:60" customFormat="1" ht="14.4">
      <c r="C13" s="1"/>
      <c r="D13" s="1"/>
      <c r="F13" s="1"/>
      <c r="G13" s="72"/>
      <c r="H13" s="72"/>
      <c r="I13" s="72"/>
      <c r="J13" s="407"/>
      <c r="AJ13" s="75">
        <v>1</v>
      </c>
      <c r="AK13" s="389" t="s">
        <v>255</v>
      </c>
      <c r="AL13" s="389">
        <v>28302</v>
      </c>
      <c r="AM13" s="389" t="s">
        <v>31</v>
      </c>
      <c r="AN13" s="418">
        <f>AL13</f>
        <v>28302</v>
      </c>
      <c r="AO13" s="389">
        <v>1</v>
      </c>
      <c r="AP13" s="389"/>
      <c r="AQ13" s="389"/>
      <c r="AR13" s="389"/>
      <c r="AS13" s="389"/>
      <c r="AT13" s="75"/>
      <c r="AU13" s="75"/>
      <c r="AV13" s="75"/>
      <c r="AW13" s="75"/>
      <c r="AX13" s="75"/>
      <c r="AY13" s="75"/>
      <c r="AZ13" s="75"/>
      <c r="BA13" s="75"/>
      <c r="BB13" s="75"/>
      <c r="BC13" s="75"/>
      <c r="BD13" s="75"/>
      <c r="BE13" s="75"/>
      <c r="BF13" s="75"/>
      <c r="BG13" s="75"/>
      <c r="BH13" s="75"/>
    </row>
    <row r="14" spans="2:60" customFormat="1" ht="14.4">
      <c r="B14" t="s">
        <v>227</v>
      </c>
      <c r="C14" t="s">
        <v>256</v>
      </c>
      <c r="J14" s="1"/>
      <c r="AJ14" s="75"/>
      <c r="AK14" s="389"/>
      <c r="AL14" s="389"/>
      <c r="AM14" s="389"/>
      <c r="AN14" s="418">
        <f>IF(AJ14&gt;=1,AP8*AM8,AL13)</f>
        <v>28302</v>
      </c>
      <c r="AO14" s="389"/>
      <c r="AP14" s="418">
        <v>1</v>
      </c>
      <c r="AQ14" s="418">
        <f xml:space="preserve"> _xlfn.XLOOKUP(AP14,AO12:AO13,AQ12:AQ13)</f>
        <v>0</v>
      </c>
      <c r="AR14" s="389"/>
      <c r="AS14" s="389"/>
      <c r="AT14" s="75"/>
      <c r="AU14" s="75"/>
      <c r="AV14" s="75"/>
      <c r="AW14" s="75"/>
      <c r="AX14" s="75"/>
      <c r="AY14" s="75"/>
      <c r="AZ14" s="75"/>
      <c r="BA14" s="75"/>
      <c r="BB14" s="75"/>
      <c r="BC14" s="75"/>
      <c r="BD14" s="75"/>
      <c r="BE14" s="75"/>
      <c r="BF14" s="75"/>
      <c r="BG14" s="75"/>
      <c r="BH14" s="75"/>
    </row>
    <row r="15" spans="2:60" customFormat="1" ht="14.4">
      <c r="C15" t="s">
        <v>257</v>
      </c>
      <c r="J15" s="1"/>
      <c r="AJ15" s="75"/>
      <c r="AK15" s="418">
        <v>1</v>
      </c>
      <c r="AL15" s="418">
        <f xml:space="preserve"> _xlfn.XLOOKUP(AK15,AJ13:AJ14,AN13:AN14)</f>
        <v>28302</v>
      </c>
      <c r="AM15" s="418" t="s">
        <v>31</v>
      </c>
      <c r="AN15" s="389"/>
      <c r="AO15" s="418"/>
      <c r="AP15" s="418"/>
      <c r="AQ15" s="389"/>
      <c r="AR15" s="389"/>
      <c r="AS15" s="389">
        <f>IF(AJ11&gt;=1,AL15,AQ14)</f>
        <v>0</v>
      </c>
      <c r="AT15" s="70" t="s">
        <v>31</v>
      </c>
      <c r="AU15" s="75"/>
      <c r="AV15" s="75"/>
      <c r="AW15" s="75"/>
      <c r="AX15" s="75"/>
      <c r="AY15" s="75"/>
      <c r="AZ15" s="75"/>
      <c r="BA15" s="75"/>
      <c r="BB15" s="75"/>
      <c r="BC15" s="75"/>
      <c r="BD15" s="75"/>
      <c r="BE15" s="75"/>
      <c r="BF15" s="75"/>
      <c r="BG15" s="75"/>
      <c r="BH15" s="75"/>
    </row>
    <row r="16" spans="2:60" customFormat="1" ht="26.1" customHeight="1">
      <c r="C16" s="419" t="s">
        <v>262</v>
      </c>
      <c r="D16" s="419"/>
      <c r="E16" s="402">
        <v>140</v>
      </c>
      <c r="F16" t="str">
        <f>_xlfn.XLOOKUP(C16,AK17:AK19,AM17:AM19)</f>
        <v>m²</v>
      </c>
      <c r="J16" s="1"/>
      <c r="AE16" s="72"/>
      <c r="AF16" s="72"/>
      <c r="AG16" s="72"/>
      <c r="AH16" s="72"/>
      <c r="AI16" s="72"/>
      <c r="AJ16" s="72"/>
      <c r="AK16" s="389"/>
      <c r="AL16" s="389">
        <f>AL15/AM8</f>
        <v>283.02</v>
      </c>
      <c r="AM16" s="389"/>
      <c r="AN16" s="389"/>
      <c r="AO16" s="389"/>
      <c r="AP16" s="389"/>
      <c r="AQ16" s="389"/>
      <c r="AR16" s="389"/>
      <c r="AS16" s="389"/>
      <c r="AT16" s="75"/>
      <c r="AU16" s="75"/>
      <c r="AV16" s="75"/>
      <c r="AW16" s="75"/>
      <c r="AX16" s="75"/>
      <c r="AY16" s="75"/>
      <c r="AZ16" s="75"/>
      <c r="BA16" s="75"/>
      <c r="BB16" s="75"/>
      <c r="BC16" s="75"/>
      <c r="BD16" s="75"/>
      <c r="BE16" s="75"/>
      <c r="BF16" s="75"/>
      <c r="BG16" s="75"/>
      <c r="BH16" s="75"/>
    </row>
    <row r="17" spans="2:60" customFormat="1" ht="14.4">
      <c r="C17" s="420" t="str">
        <f>_xlfn.XLOOKUP(C16,AK17:AK19,AN17:AN19)</f>
        <v>.</v>
      </c>
      <c r="D17" s="420"/>
      <c r="E17" s="406"/>
      <c r="F17" t="str">
        <f>_xlfn.XLOOKUP(C16,AK17:AK19,AQ17:AQ19)</f>
        <v>.</v>
      </c>
      <c r="J17" s="1"/>
      <c r="AE17" s="72"/>
      <c r="AF17" s="72"/>
      <c r="AG17" s="72"/>
      <c r="AH17" s="72"/>
      <c r="AI17" s="72"/>
      <c r="AJ17" s="72"/>
      <c r="AK17" s="405" t="s">
        <v>625</v>
      </c>
      <c r="AL17" s="389"/>
      <c r="AM17" s="389" t="s">
        <v>247</v>
      </c>
      <c r="AN17" s="389" t="s">
        <v>247</v>
      </c>
      <c r="AO17" s="389"/>
      <c r="AP17" s="389"/>
      <c r="AQ17" s="389" t="s">
        <v>247</v>
      </c>
      <c r="AR17" s="389"/>
      <c r="AS17" s="389"/>
      <c r="AT17" s="75"/>
      <c r="AU17" s="75"/>
      <c r="AV17" s="75"/>
      <c r="AW17" s="75"/>
      <c r="AX17" s="75"/>
      <c r="AY17" s="75"/>
      <c r="AZ17" s="75"/>
      <c r="BA17" s="75"/>
      <c r="BB17" s="75"/>
      <c r="BC17" s="75"/>
      <c r="BD17" s="75"/>
      <c r="BE17" s="75"/>
      <c r="BF17" s="75"/>
      <c r="BG17" s="75"/>
      <c r="BH17" s="75"/>
    </row>
    <row r="18" spans="2:60" customFormat="1" ht="46" customHeight="1">
      <c r="C18" s="421" t="str">
        <f>IF(C16=AK19,"Handelt es sich um ein bis zwei Wohneinheiten mit beheizten Keller?","")</f>
        <v>Handelt es sich um ein bis zwei Wohneinheiten mit beheizten Keller?</v>
      </c>
      <c r="D18" s="421"/>
      <c r="E18" s="422" t="s">
        <v>249</v>
      </c>
      <c r="F18" s="423" t="str">
        <f>IF(AND(C16=AK17,C5=AK10),"BITTE 'Nutzfläche AN nach ENEV /GEG (Verbrauch/Bedarf) ' in eine andere Auswahl ändern!",IF(C17=AN18,"Bitte Geschosshöhe eingeben",IF(E18=AV8,"","Bitte Auswahl treffen")))</f>
        <v/>
      </c>
      <c r="G18" s="424">
        <f>IF(E18=AV8,E16*1.35,"")</f>
        <v>189</v>
      </c>
      <c r="H18" s="424"/>
      <c r="I18" s="424"/>
      <c r="J18" s="424"/>
      <c r="AE18" s="72"/>
      <c r="AF18" s="72"/>
      <c r="AG18" s="72"/>
      <c r="AH18" s="72"/>
      <c r="AI18" s="72"/>
      <c r="AJ18" s="72"/>
      <c r="AK18" s="405" t="s">
        <v>258</v>
      </c>
      <c r="AL18" s="389">
        <v>240</v>
      </c>
      <c r="AM18" s="389" t="s">
        <v>259</v>
      </c>
      <c r="AN18" s="389" t="s">
        <v>260</v>
      </c>
      <c r="AO18" s="389"/>
      <c r="AP18" s="389">
        <v>2.4</v>
      </c>
      <c r="AQ18" s="389" t="s">
        <v>261</v>
      </c>
      <c r="AR18" s="389"/>
      <c r="AS18" s="389"/>
      <c r="AT18" s="75"/>
      <c r="AU18" s="75"/>
      <c r="AV18" s="75"/>
      <c r="AW18" s="75"/>
      <c r="AX18" s="75"/>
      <c r="AY18" s="72"/>
      <c r="AZ18" s="72"/>
      <c r="BA18" s="75"/>
      <c r="BB18" s="75"/>
      <c r="BC18" s="75"/>
      <c r="BD18" s="75"/>
      <c r="BE18" s="75"/>
      <c r="BF18" s="75"/>
      <c r="BG18" s="75"/>
      <c r="BH18" s="75"/>
    </row>
    <row r="19" spans="2:60" customFormat="1" ht="14.4">
      <c r="C19" s="425"/>
      <c r="D19" s="425"/>
      <c r="E19" s="426" t="str">
        <f>IF(C16=AK17,E8,"")</f>
        <v/>
      </c>
      <c r="F19" s="70">
        <f>IF(E18&gt;0,MAX(G18:G19),"")</f>
        <v>189</v>
      </c>
      <c r="G19" s="70" t="str">
        <f>IF(E18=AV9,E16*1.2,"")</f>
        <v/>
      </c>
      <c r="H19" s="72"/>
      <c r="I19" s="72"/>
      <c r="J19" s="407"/>
      <c r="K19" s="72"/>
      <c r="L19" s="72"/>
      <c r="M19" s="72"/>
      <c r="N19" s="72"/>
      <c r="O19" s="72"/>
      <c r="AE19" s="72"/>
      <c r="AF19" s="72"/>
      <c r="AG19" s="72"/>
      <c r="AH19" s="72"/>
      <c r="AI19" s="72"/>
      <c r="AJ19" s="72">
        <v>1</v>
      </c>
      <c r="AK19" s="175" t="s">
        <v>262</v>
      </c>
      <c r="AL19" s="75">
        <v>100</v>
      </c>
      <c r="AM19" s="75" t="s">
        <v>263</v>
      </c>
      <c r="AN19" s="75" t="s">
        <v>247</v>
      </c>
      <c r="AO19" s="75"/>
      <c r="AP19" s="75"/>
      <c r="AQ19" s="75" t="s">
        <v>247</v>
      </c>
      <c r="AR19" s="75" t="s">
        <v>264</v>
      </c>
      <c r="AS19" s="75"/>
      <c r="AT19" s="75"/>
      <c r="AU19" s="75"/>
      <c r="AV19" s="75"/>
      <c r="AW19" s="75"/>
      <c r="AX19" s="75"/>
      <c r="AY19" s="72"/>
      <c r="AZ19" s="72"/>
      <c r="BA19" s="75"/>
      <c r="BB19" s="75"/>
      <c r="BC19" s="75"/>
      <c r="BD19" s="75"/>
      <c r="BE19" s="75"/>
      <c r="BF19" s="75"/>
      <c r="BG19" s="75"/>
      <c r="BH19" s="75"/>
    </row>
    <row r="20" spans="2:60" customFormat="1" ht="25.15" customHeight="1">
      <c r="C20" s="427" t="str">
        <f>IF(C16=AK18,CONCATENATE("Ist die Geschosshöhe wirklich im mittel ",E17," m?"),"")</f>
        <v/>
      </c>
      <c r="D20" s="427"/>
      <c r="E20" s="428"/>
      <c r="F20" s="429" t="str">
        <f>IF(AND(E17&gt;2.5,E17&lt;3),0.32*E16,"1")</f>
        <v>1</v>
      </c>
      <c r="G20" s="75"/>
      <c r="H20" s="72"/>
      <c r="I20" s="72"/>
      <c r="J20" s="407"/>
      <c r="K20" s="72"/>
      <c r="L20" s="72"/>
      <c r="M20" s="72"/>
      <c r="N20" s="72"/>
      <c r="O20" s="72"/>
      <c r="AE20" s="72"/>
      <c r="AF20" s="72"/>
      <c r="AG20" s="72"/>
      <c r="AH20" s="72"/>
      <c r="AI20" s="72"/>
      <c r="AJ20" s="72"/>
      <c r="AK20" s="75" t="s">
        <v>265</v>
      </c>
      <c r="AL20" s="75">
        <f>AL19*1.35</f>
        <v>135</v>
      </c>
      <c r="AM20" s="75" t="s">
        <v>263</v>
      </c>
      <c r="AN20" s="75"/>
      <c r="AO20" s="75" t="s">
        <v>266</v>
      </c>
      <c r="AP20" s="75"/>
      <c r="AQ20" s="75"/>
      <c r="AR20" s="75"/>
      <c r="AS20" s="75"/>
      <c r="AT20" s="75"/>
      <c r="AU20" s="75"/>
      <c r="AV20" s="75" t="s">
        <v>267</v>
      </c>
      <c r="AW20" s="75"/>
      <c r="AX20" s="75"/>
      <c r="AY20" s="72"/>
      <c r="AZ20" s="72"/>
      <c r="BA20" s="75"/>
      <c r="BB20" s="75"/>
      <c r="BC20" s="75"/>
      <c r="BD20" s="75"/>
      <c r="BE20" s="75"/>
      <c r="BF20" s="75"/>
      <c r="BG20" s="75"/>
      <c r="BH20" s="75"/>
    </row>
    <row r="21" spans="2:60" customFormat="1" ht="14.4">
      <c r="C21" s="1" t="str">
        <f>IF(E20=AV9,"Bitte Geschosshöhe ändern!","")</f>
        <v/>
      </c>
      <c r="D21" s="1"/>
      <c r="E21" s="429">
        <f>MAX(F20:F22)</f>
        <v>0</v>
      </c>
      <c r="F21" s="429" t="str">
        <f>IF(AND(E17&lt;2.5,E17&gt;0),ROUND(((1/E17)-0.04)*E16,0),"1")</f>
        <v>1</v>
      </c>
      <c r="G21" s="75"/>
      <c r="H21" s="72"/>
      <c r="I21" s="72"/>
      <c r="J21" s="407"/>
      <c r="AE21" s="72"/>
      <c r="AF21" s="72"/>
      <c r="AG21" s="72"/>
      <c r="AH21" s="72"/>
      <c r="AI21" s="72"/>
      <c r="AJ21" s="72">
        <v>1</v>
      </c>
      <c r="AK21" s="75" t="s">
        <v>268</v>
      </c>
      <c r="AL21" s="75">
        <f>AL19*1.2</f>
        <v>120</v>
      </c>
      <c r="AM21" s="75" t="s">
        <v>263</v>
      </c>
      <c r="AN21" s="75"/>
      <c r="AO21" s="75" t="s">
        <v>269</v>
      </c>
      <c r="AP21" s="75">
        <f>0.32*AL18</f>
        <v>76.8</v>
      </c>
      <c r="AQ21" s="75" t="s">
        <v>270</v>
      </c>
      <c r="AR21" s="75"/>
      <c r="AS21" s="75"/>
      <c r="AT21" s="75"/>
      <c r="AU21" s="75"/>
      <c r="AV21" s="75" t="s">
        <v>271</v>
      </c>
      <c r="AW21" s="75"/>
      <c r="AX21" s="75"/>
      <c r="AY21" s="72"/>
      <c r="AZ21" s="72"/>
      <c r="BA21" s="75"/>
      <c r="BB21" s="75"/>
      <c r="BC21" s="75"/>
      <c r="BD21" s="75"/>
      <c r="BE21" s="75"/>
      <c r="BF21" s="75"/>
      <c r="BG21" s="75"/>
      <c r="BH21" s="75"/>
    </row>
    <row r="22" spans="2:60" customFormat="1" ht="14.4">
      <c r="D22" s="70">
        <f>MAX(F20:F22)</f>
        <v>0</v>
      </c>
      <c r="E22" s="429">
        <f>MAX(F19:F22)</f>
        <v>189</v>
      </c>
      <c r="F22" s="429" t="str">
        <f>IF(E17&gt;3,ROUND(((1/E17)-0.04)*E16,0),"1")</f>
        <v>1</v>
      </c>
      <c r="G22" s="75"/>
      <c r="H22" s="72"/>
      <c r="I22" s="72"/>
      <c r="J22" s="407"/>
      <c r="AE22" s="72"/>
      <c r="AF22" s="72"/>
      <c r="AG22" s="72"/>
      <c r="AH22" s="72"/>
      <c r="AI22" s="72"/>
      <c r="AJ22" s="72"/>
      <c r="AK22" s="70">
        <v>1</v>
      </c>
      <c r="AL22" s="70">
        <f xml:space="preserve"> _xlfn.XLOOKUP(AK22,AJ20:AJ21,AL20:AL21)</f>
        <v>120</v>
      </c>
      <c r="AM22" s="75"/>
      <c r="AN22" s="75">
        <v>1</v>
      </c>
      <c r="AO22" s="75" t="s">
        <v>272</v>
      </c>
      <c r="AP22" s="75">
        <f>ROUND(((1/AP18)-0.04)*AL18,0)</f>
        <v>90</v>
      </c>
      <c r="AQ22" s="75" t="s">
        <v>270</v>
      </c>
      <c r="AR22" s="75"/>
      <c r="AS22" s="75"/>
      <c r="AT22" s="75"/>
      <c r="AU22" s="75"/>
      <c r="AV22" s="75">
        <f>8.34*6*2</f>
        <v>100.08</v>
      </c>
      <c r="AW22" s="75"/>
      <c r="AX22" s="75"/>
      <c r="AY22" s="72"/>
      <c r="AZ22" s="72"/>
      <c r="BA22" s="75"/>
      <c r="BB22" s="75"/>
      <c r="BC22" s="75"/>
      <c r="BD22" s="75"/>
      <c r="BE22" s="75"/>
      <c r="BF22" s="75"/>
      <c r="BG22" s="75"/>
      <c r="BH22" s="75"/>
    </row>
    <row r="23" spans="2:60" customFormat="1" ht="34" customHeight="1">
      <c r="B23" s="430" t="s">
        <v>273</v>
      </c>
      <c r="C23" s="315" t="s">
        <v>361</v>
      </c>
      <c r="D23" s="315"/>
      <c r="E23" s="315"/>
      <c r="F23" s="315"/>
      <c r="G23" s="315"/>
      <c r="J23" s="1"/>
      <c r="AE23" s="72"/>
      <c r="AF23" s="72"/>
      <c r="AG23" s="72"/>
      <c r="AH23" s="72"/>
      <c r="AI23" s="72"/>
      <c r="AJ23" s="72"/>
      <c r="AK23" s="70"/>
      <c r="AL23" s="70"/>
      <c r="AM23" s="75"/>
      <c r="AN23" s="75"/>
      <c r="AO23" s="70">
        <v>1</v>
      </c>
      <c r="AP23" s="70">
        <f xml:space="preserve"> _xlfn.XLOOKUP(AO23,AN21:AN22,AP21:AP22)</f>
        <v>90</v>
      </c>
      <c r="AQ23" s="75"/>
      <c r="AR23" s="75"/>
      <c r="AS23" s="75"/>
      <c r="AT23" s="75"/>
      <c r="AU23" s="75"/>
      <c r="AV23" s="75" t="s">
        <v>266</v>
      </c>
      <c r="AW23" s="75"/>
      <c r="AX23" s="75"/>
      <c r="AY23" s="72"/>
      <c r="AZ23" s="72"/>
      <c r="BA23" s="75"/>
      <c r="BB23" s="75"/>
      <c r="BC23" s="75"/>
      <c r="BD23" s="75"/>
      <c r="BE23" s="75"/>
      <c r="BF23" s="75"/>
      <c r="BG23" s="75"/>
      <c r="BH23" s="75"/>
    </row>
    <row r="24" spans="2:60" s="68" customFormat="1" ht="26.5" customHeight="1">
      <c r="C24" s="431" t="str">
        <f>CONCATENATE("Nutzfläche AN nach ",C16)</f>
        <v xml:space="preserve">Nutzfläche AN nach Wohnfläche nach Wohnflächenverordnung </v>
      </c>
      <c r="D24" s="432"/>
      <c r="E24" s="73">
        <f>IF(C16=AK17,E8,IF(C16=AK19,E22,E21))</f>
        <v>189</v>
      </c>
      <c r="F24" s="71" t="s">
        <v>263</v>
      </c>
      <c r="AE24" s="78"/>
      <c r="AF24" s="78"/>
      <c r="AG24" s="78"/>
      <c r="AH24" s="78"/>
      <c r="AI24" s="78"/>
      <c r="AJ24" s="78"/>
      <c r="AK24" s="176"/>
      <c r="AL24" s="176"/>
      <c r="AM24" s="176"/>
      <c r="AN24" s="176"/>
      <c r="AO24" s="176"/>
      <c r="AP24" s="176"/>
      <c r="AQ24" s="176"/>
      <c r="AR24" s="176"/>
      <c r="AS24" s="176"/>
      <c r="AT24" s="176"/>
      <c r="AU24" s="176"/>
      <c r="AV24" s="176">
        <f>AV22*2.4</f>
        <v>240.19199999999998</v>
      </c>
      <c r="AW24" s="176"/>
      <c r="AX24" s="176"/>
      <c r="AY24" s="78"/>
      <c r="AZ24" s="78"/>
      <c r="BA24" s="176"/>
      <c r="BB24" s="176"/>
      <c r="BC24" s="176"/>
      <c r="BD24" s="176"/>
      <c r="BE24" s="176"/>
      <c r="BF24" s="176"/>
      <c r="BG24" s="176"/>
      <c r="BH24" s="176"/>
    </row>
    <row r="25" spans="2:60" s="68" customFormat="1" ht="25" customHeight="1">
      <c r="C25" s="433" t="s">
        <v>274</v>
      </c>
      <c r="D25" s="434"/>
      <c r="E25" s="73">
        <f>ROUND(E24*0.03,2)</f>
        <v>5.67</v>
      </c>
      <c r="F25" s="71" t="s">
        <v>275</v>
      </c>
      <c r="AE25" s="78"/>
      <c r="AF25" s="78"/>
      <c r="AG25" s="78"/>
      <c r="AH25" s="78"/>
      <c r="AI25" s="78"/>
      <c r="AJ25" s="176"/>
      <c r="AK25" s="176"/>
      <c r="AL25" s="176"/>
      <c r="AM25" s="176"/>
      <c r="AN25" s="176"/>
      <c r="AO25" s="176"/>
      <c r="AP25" s="176"/>
      <c r="AQ25" s="176"/>
      <c r="AR25" s="176"/>
      <c r="AS25" s="176"/>
      <c r="AT25" s="176"/>
      <c r="AU25" s="176"/>
      <c r="AV25" s="176"/>
      <c r="AW25" s="176"/>
      <c r="AX25" s="176"/>
      <c r="AY25" s="78"/>
      <c r="AZ25" s="78"/>
      <c r="BA25" s="176"/>
      <c r="BB25" s="176"/>
      <c r="BC25" s="176"/>
      <c r="BD25" s="176"/>
      <c r="BE25" s="176"/>
      <c r="BF25" s="176"/>
      <c r="BG25" s="176"/>
      <c r="BH25" s="176"/>
    </row>
    <row r="26" spans="2:60" s="68" customFormat="1" ht="25" customHeight="1">
      <c r="C26" s="433" t="s">
        <v>276</v>
      </c>
      <c r="D26" s="434"/>
      <c r="E26" s="73">
        <f>ROUND(E24*0.04,2)</f>
        <v>7.56</v>
      </c>
      <c r="F26" s="71" t="s">
        <v>275</v>
      </c>
      <c r="S26" s="435">
        <v>79</v>
      </c>
      <c r="T26" s="436"/>
      <c r="U26" s="436"/>
      <c r="V26" s="436"/>
      <c r="W26" s="436"/>
      <c r="X26" s="436"/>
      <c r="Y26" s="436"/>
      <c r="Z26" s="436"/>
      <c r="AA26" s="436"/>
      <c r="AB26" s="436"/>
      <c r="AC26" s="436"/>
      <c r="AD26" s="436"/>
      <c r="AE26" s="437"/>
      <c r="AF26" s="437"/>
      <c r="AG26" s="437"/>
      <c r="AH26" s="437"/>
      <c r="AI26" s="437"/>
      <c r="AJ26" s="438"/>
      <c r="AK26" s="176"/>
      <c r="AL26" s="176"/>
      <c r="AM26" s="176"/>
      <c r="AN26" s="176"/>
      <c r="AO26" s="176"/>
      <c r="AP26" s="176"/>
      <c r="AQ26" s="176"/>
      <c r="AR26" s="176"/>
      <c r="AS26" s="176"/>
      <c r="AT26" s="176" t="s">
        <v>277</v>
      </c>
      <c r="AU26" s="176"/>
      <c r="AV26" s="176"/>
      <c r="AW26" s="176"/>
      <c r="AX26" s="176" t="s">
        <v>278</v>
      </c>
      <c r="AY26" s="176"/>
      <c r="AZ26" s="176"/>
      <c r="BA26" s="176"/>
      <c r="BB26" s="176"/>
      <c r="BC26" s="176"/>
      <c r="BD26" s="176"/>
      <c r="BE26" s="176"/>
      <c r="BF26" s="176"/>
      <c r="BG26" s="176"/>
      <c r="BH26" s="176"/>
    </row>
    <row r="27" spans="2:60" customFormat="1">
      <c r="J27" s="1"/>
      <c r="P27" s="1"/>
      <c r="Q27" s="7"/>
      <c r="R27" s="1"/>
      <c r="AC27" s="1"/>
      <c r="AD27" s="1"/>
      <c r="AJ27" s="439"/>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row>
    <row r="28" spans="2:60" customFormat="1">
      <c r="J28" s="1"/>
      <c r="P28" s="1"/>
      <c r="Q28" s="7"/>
      <c r="R28" s="1"/>
      <c r="S28" s="1"/>
      <c r="AJ28" s="439"/>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row>
    <row r="29" spans="2:60" customFormat="1" ht="14.1">
      <c r="B29" t="s">
        <v>279</v>
      </c>
      <c r="C29" s="440" t="s">
        <v>360</v>
      </c>
      <c r="J29" s="1"/>
      <c r="P29" s="1"/>
      <c r="Q29" s="7"/>
      <c r="R29" s="1"/>
      <c r="S29" s="1"/>
      <c r="AJ29" s="439"/>
      <c r="AK29" s="75"/>
      <c r="AL29" s="75"/>
      <c r="AM29" s="75"/>
      <c r="AN29" s="75"/>
      <c r="AO29" s="76"/>
      <c r="AP29" s="75"/>
      <c r="AQ29" s="75"/>
      <c r="AR29" s="75" t="s">
        <v>280</v>
      </c>
      <c r="AS29" s="75"/>
      <c r="AT29" s="75"/>
      <c r="AU29" s="75"/>
      <c r="AV29" s="75"/>
      <c r="AW29" s="75"/>
      <c r="AX29" s="75"/>
      <c r="AY29" s="75"/>
      <c r="AZ29" s="75"/>
      <c r="BA29" s="75"/>
      <c r="BB29" s="75"/>
      <c r="BC29" s="75"/>
      <c r="BD29" s="75"/>
      <c r="BE29" s="75"/>
      <c r="BF29" s="75"/>
      <c r="BG29" s="75"/>
      <c r="BH29" s="75"/>
    </row>
    <row r="30" spans="2:60" customFormat="1" ht="13.8">
      <c r="C30" t="s">
        <v>281</v>
      </c>
      <c r="D30" s="1"/>
      <c r="J30" s="1"/>
      <c r="P30" s="1"/>
      <c r="Q30" s="7"/>
      <c r="R30" s="1"/>
      <c r="AJ30" s="439"/>
      <c r="AK30" s="75"/>
      <c r="AL30" s="75"/>
      <c r="AM30" s="75"/>
      <c r="AN30" s="177" t="s">
        <v>282</v>
      </c>
      <c r="AO30" s="75"/>
      <c r="AP30" s="75"/>
      <c r="AQ30" s="75"/>
      <c r="AR30" s="75" t="str">
        <f>CONCATENATE("Von 15% Anforderung; dann nur noch ",(15-(15*(1/6)))," %")</f>
        <v>Von 15% Anforderung; dann nur noch 12,5 %</v>
      </c>
      <c r="AS30" s="75"/>
      <c r="AT30" s="75"/>
      <c r="AU30" s="75"/>
      <c r="AV30" s="75"/>
      <c r="AW30" s="75"/>
      <c r="AX30" s="75"/>
      <c r="AY30" s="75"/>
      <c r="AZ30" s="75"/>
      <c r="BA30" s="75"/>
      <c r="BB30" s="75"/>
      <c r="BC30" s="75"/>
      <c r="BD30" s="75"/>
      <c r="BE30" s="75"/>
      <c r="BF30" s="75"/>
      <c r="BG30" s="75"/>
      <c r="BH30" s="75"/>
    </row>
    <row r="31" spans="2:60" customFormat="1" ht="13.9" customHeight="1">
      <c r="C31" s="400" t="s">
        <v>283</v>
      </c>
      <c r="D31" s="401"/>
      <c r="E31" s="441">
        <v>3.2</v>
      </c>
      <c r="F31" s="27" t="s">
        <v>284</v>
      </c>
      <c r="J31" s="1"/>
      <c r="P31" s="1"/>
      <c r="Q31" s="7"/>
      <c r="R31" s="1"/>
      <c r="AJ31" s="439"/>
      <c r="AK31" s="75"/>
      <c r="AL31" s="75"/>
      <c r="AM31" s="75"/>
      <c r="AN31" s="177"/>
      <c r="AO31" s="177" t="s">
        <v>285</v>
      </c>
      <c r="AP31" s="75"/>
      <c r="AQ31" s="75"/>
      <c r="AR31" s="75"/>
      <c r="AS31" s="75"/>
      <c r="AT31" s="75"/>
      <c r="AU31" s="75"/>
      <c r="AV31" s="75"/>
      <c r="AW31" s="75"/>
      <c r="AX31" s="75"/>
      <c r="AY31" s="75"/>
      <c r="AZ31" s="75"/>
      <c r="BA31" s="75"/>
      <c r="BB31" s="75"/>
      <c r="BC31" s="75"/>
      <c r="BD31" s="75"/>
      <c r="BE31" s="75"/>
      <c r="BF31" s="75"/>
      <c r="BG31" s="75"/>
      <c r="BH31" s="75"/>
    </row>
    <row r="32" spans="2:60" customFormat="1" ht="24" customHeight="1">
      <c r="C32" s="400" t="s">
        <v>286</v>
      </c>
      <c r="D32" s="401"/>
      <c r="E32" s="441">
        <v>8000</v>
      </c>
      <c r="F32" s="27" t="s">
        <v>31</v>
      </c>
      <c r="G32" s="442" t="str">
        <f>CONCATENATE("Deckungsgrad ",ROUND((E32/E33)*100,0),"%")</f>
        <v>Deckungsgrad 42%</v>
      </c>
      <c r="J32" s="1"/>
      <c r="P32" s="1"/>
      <c r="Q32" s="7"/>
      <c r="R32" s="1"/>
      <c r="S32" s="31"/>
      <c r="T32" s="31"/>
      <c r="U32" s="31"/>
      <c r="V32" s="31"/>
      <c r="W32" s="31"/>
      <c r="X32" s="31"/>
      <c r="Y32" s="31"/>
      <c r="Z32" s="31"/>
      <c r="AA32" s="31"/>
      <c r="AB32" s="31"/>
      <c r="AC32" s="31"/>
      <c r="AD32" s="31"/>
      <c r="AE32" s="31"/>
      <c r="AF32" s="31"/>
      <c r="AG32" s="31"/>
      <c r="AH32" s="31"/>
      <c r="AI32" s="31"/>
      <c r="AJ32" s="443"/>
      <c r="AK32" s="75"/>
      <c r="AL32" s="75"/>
      <c r="AM32" s="75"/>
      <c r="AN32" s="177" t="s">
        <v>287</v>
      </c>
      <c r="AO32" s="75"/>
      <c r="AP32" s="75"/>
      <c r="AQ32" s="75"/>
      <c r="AR32" s="75"/>
      <c r="AS32" s="75"/>
      <c r="AT32" s="75" t="s">
        <v>288</v>
      </c>
      <c r="AU32" s="75"/>
      <c r="AV32" s="75"/>
      <c r="AW32" s="75"/>
      <c r="AX32" s="75"/>
      <c r="AY32" s="75"/>
      <c r="AZ32" s="75"/>
      <c r="BA32" s="75"/>
      <c r="BB32" s="75"/>
      <c r="BC32" s="75"/>
      <c r="BD32" s="75"/>
      <c r="BE32" s="75"/>
      <c r="BF32" s="75"/>
      <c r="BG32" s="75"/>
      <c r="BH32" s="75"/>
    </row>
    <row r="33" spans="2:60" customFormat="1" ht="24.6" customHeight="1">
      <c r="C33" s="400" t="s">
        <v>289</v>
      </c>
      <c r="D33" s="401"/>
      <c r="E33" s="444">
        <f>G12</f>
        <v>18900</v>
      </c>
      <c r="F33" s="445" t="s">
        <v>31</v>
      </c>
      <c r="J33" s="1"/>
      <c r="AJ33" s="75"/>
      <c r="AK33" s="75"/>
      <c r="AL33" s="75"/>
      <c r="AM33" s="177" t="s">
        <v>290</v>
      </c>
      <c r="AN33" s="177" t="s">
        <v>291</v>
      </c>
      <c r="AO33" s="75"/>
      <c r="AP33" s="75"/>
      <c r="AQ33" s="75"/>
      <c r="AR33" s="75"/>
      <c r="AS33" s="75"/>
      <c r="AT33" s="177" t="s">
        <v>283</v>
      </c>
      <c r="AU33" s="75"/>
      <c r="AV33" s="75"/>
      <c r="AW33" s="75"/>
      <c r="AX33" s="75"/>
      <c r="AY33" s="75"/>
      <c r="AZ33" s="75"/>
      <c r="BA33" s="75"/>
      <c r="BB33" s="75"/>
      <c r="BC33" s="75"/>
      <c r="BD33" s="75"/>
      <c r="BE33" s="75"/>
      <c r="BF33" s="75"/>
      <c r="BG33" s="75"/>
      <c r="BH33" s="75"/>
    </row>
    <row r="34" spans="2:60" customFormat="1" ht="13.8">
      <c r="C34" s="400" t="s">
        <v>292</v>
      </c>
      <c r="D34" s="401"/>
      <c r="E34" s="446">
        <f>(E32/E33)*(1-(0.5/(E31*0.21)))</f>
        <v>0.10833963214915598</v>
      </c>
      <c r="F34" t="s">
        <v>352</v>
      </c>
      <c r="J34" s="1"/>
      <c r="AJ34" s="75"/>
      <c r="AK34" s="75"/>
      <c r="AL34" s="75"/>
      <c r="AM34" s="177" t="s">
        <v>293</v>
      </c>
      <c r="AN34" s="177" t="s">
        <v>294</v>
      </c>
      <c r="AO34" s="75"/>
      <c r="AP34" s="75"/>
      <c r="AQ34" s="75"/>
      <c r="AR34" s="75"/>
      <c r="AS34" s="75"/>
      <c r="AT34" s="75"/>
      <c r="AU34" s="75"/>
      <c r="AV34" s="75"/>
      <c r="AW34" s="75"/>
      <c r="AX34" s="75"/>
      <c r="AY34" s="75"/>
      <c r="AZ34" s="75"/>
      <c r="BA34" s="75"/>
      <c r="BB34" s="75"/>
      <c r="BC34" s="75"/>
      <c r="BD34" s="75"/>
      <c r="BE34" s="75"/>
      <c r="BF34" s="75"/>
      <c r="BG34" s="75"/>
      <c r="BH34" s="75"/>
    </row>
    <row r="35" spans="2:60" customFormat="1">
      <c r="C35" s="71" t="str">
        <f>IF(E34&lt;0.149,"Achtung Verpflichtung zur Nutzung von erneuerbaren Energien nach § 17 Absatz 1 HmbKliSchG wird erstmal nicht eingehalten!","")</f>
        <v>Achtung Verpflichtung zur Nutzung von erneuerbaren Energien nach § 17 Absatz 1 HmbKliSchG wird erstmal nicht eingehalten!</v>
      </c>
      <c r="D35" s="1"/>
      <c r="J35" s="1"/>
      <c r="AJ35" s="75"/>
      <c r="AK35" s="75"/>
      <c r="AL35" s="75"/>
      <c r="AM35" s="75"/>
      <c r="AN35" s="75"/>
      <c r="AO35" s="75"/>
      <c r="AP35" s="75"/>
      <c r="AQ35" s="75" t="s">
        <v>295</v>
      </c>
      <c r="AR35" s="75"/>
      <c r="AS35" s="75"/>
      <c r="AT35" s="75"/>
      <c r="AU35" s="75"/>
      <c r="AV35" s="75"/>
      <c r="AW35" s="75"/>
      <c r="AX35" s="75"/>
      <c r="AY35" s="75"/>
      <c r="AZ35" s="75"/>
      <c r="BA35" s="75"/>
      <c r="BB35" s="75"/>
      <c r="BC35" s="75"/>
      <c r="BD35" s="75"/>
      <c r="BE35" s="75"/>
      <c r="BF35" s="75"/>
      <c r="BG35" s="75"/>
      <c r="BH35" s="75"/>
    </row>
    <row r="36" spans="2:60" customFormat="1">
      <c r="D36" s="1"/>
      <c r="J36" s="1"/>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row>
    <row r="37" spans="2:60" customFormat="1" ht="14.1">
      <c r="B37" t="s">
        <v>296</v>
      </c>
      <c r="C37" s="440" t="s">
        <v>359</v>
      </c>
      <c r="D37" s="1"/>
      <c r="J37" s="1"/>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75"/>
      <c r="BH37" s="75"/>
    </row>
    <row r="38" spans="2:60" customFormat="1" ht="13.8">
      <c r="C38" t="s">
        <v>281</v>
      </c>
      <c r="D38" s="1"/>
      <c r="E38" s="1"/>
      <c r="F38" s="440"/>
      <c r="J38" s="1"/>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75"/>
      <c r="BH38" s="75"/>
    </row>
    <row r="39" spans="2:60" customFormat="1" ht="12.4" customHeight="1">
      <c r="C39" s="400" t="s">
        <v>283</v>
      </c>
      <c r="D39" s="401"/>
      <c r="E39" s="441">
        <v>1.2</v>
      </c>
      <c r="F39" s="447" t="s">
        <v>297</v>
      </c>
      <c r="J39" s="1"/>
      <c r="AJ39" s="75"/>
      <c r="AK39" s="75"/>
      <c r="AL39" s="75" t="s">
        <v>298</v>
      </c>
      <c r="AM39" s="75"/>
      <c r="AN39" s="75"/>
      <c r="AO39" s="75"/>
      <c r="AP39" s="75"/>
      <c r="AQ39" s="75"/>
      <c r="AR39" s="75"/>
      <c r="AS39" s="75"/>
      <c r="AT39" s="75"/>
      <c r="AU39" s="75"/>
      <c r="AV39" s="75"/>
      <c r="AW39" s="75"/>
      <c r="AX39" s="75"/>
      <c r="AY39" s="75"/>
      <c r="AZ39" s="75"/>
      <c r="BA39" s="75"/>
      <c r="BB39" s="75"/>
      <c r="BC39" s="75"/>
      <c r="BD39" s="75"/>
      <c r="BE39" s="75"/>
      <c r="BF39" s="75"/>
      <c r="BG39" s="75"/>
      <c r="BH39" s="75"/>
    </row>
    <row r="40" spans="2:60" customFormat="1" ht="26.65" customHeight="1">
      <c r="C40" s="400" t="s">
        <v>286</v>
      </c>
      <c r="D40" s="401"/>
      <c r="E40" s="441">
        <v>14500</v>
      </c>
      <c r="F40" s="27" t="s">
        <v>31</v>
      </c>
      <c r="G40" s="442" t="str">
        <f>CONCATENATE("Deckungsgrad ",ROUND((E40/E41)*100,0),"%")</f>
        <v>Deckungsgrad 77%</v>
      </c>
      <c r="J40" s="1"/>
      <c r="AJ40" s="75"/>
      <c r="AK40" s="75"/>
      <c r="AL40" s="75" t="s">
        <v>299</v>
      </c>
      <c r="AM40" s="75"/>
      <c r="AN40" s="75" t="s">
        <v>299</v>
      </c>
      <c r="AO40" s="75"/>
      <c r="AP40" s="75" t="s">
        <v>300</v>
      </c>
      <c r="AQ40" s="75"/>
      <c r="AR40" s="75" t="s">
        <v>301</v>
      </c>
      <c r="AS40" s="75" t="s">
        <v>7</v>
      </c>
      <c r="AT40" s="75" t="s">
        <v>27</v>
      </c>
      <c r="AU40" s="75"/>
      <c r="AV40" s="75" t="s">
        <v>302</v>
      </c>
      <c r="AW40" s="75"/>
      <c r="AX40" s="75" t="s">
        <v>192</v>
      </c>
      <c r="AY40" s="75"/>
      <c r="AZ40" s="75"/>
      <c r="BA40" s="75"/>
      <c r="BB40" s="75"/>
      <c r="BC40" s="75"/>
      <c r="BD40" s="75"/>
      <c r="BE40" s="75"/>
      <c r="BF40" s="75"/>
      <c r="BG40" s="75"/>
      <c r="BH40" s="75"/>
    </row>
    <row r="41" spans="2:60" customFormat="1" ht="26.65" customHeight="1">
      <c r="C41" s="400" t="s">
        <v>289</v>
      </c>
      <c r="D41" s="401"/>
      <c r="E41" s="444">
        <f>G12</f>
        <v>18900</v>
      </c>
      <c r="F41" s="445" t="s">
        <v>31</v>
      </c>
      <c r="J41" s="1"/>
      <c r="AJ41" s="75"/>
      <c r="AK41" s="75"/>
      <c r="AL41" s="75" t="s">
        <v>300</v>
      </c>
      <c r="AM41" s="75">
        <v>10.42</v>
      </c>
      <c r="AN41" s="75" t="s">
        <v>259</v>
      </c>
      <c r="AO41" s="75">
        <v>10.08</v>
      </c>
      <c r="AP41" s="75" t="s">
        <v>199</v>
      </c>
      <c r="AQ41" s="75">
        <v>2326</v>
      </c>
      <c r="AR41" s="75" t="s">
        <v>303</v>
      </c>
      <c r="AS41" s="75" t="s">
        <v>31</v>
      </c>
      <c r="AT41" s="75" t="s">
        <v>31</v>
      </c>
      <c r="AU41" s="75">
        <v>8.7100000000000009</v>
      </c>
      <c r="AV41" s="75" t="s">
        <v>304</v>
      </c>
      <c r="AW41" s="75">
        <v>12.8</v>
      </c>
      <c r="AX41" s="75" t="s">
        <v>305</v>
      </c>
      <c r="AY41" s="75"/>
      <c r="AZ41" s="75"/>
      <c r="BA41" s="177" t="s">
        <v>306</v>
      </c>
      <c r="BB41" s="75"/>
      <c r="BC41" s="75"/>
      <c r="BD41" s="75"/>
      <c r="BE41" s="75"/>
      <c r="BF41" s="75"/>
      <c r="BG41" s="75"/>
      <c r="BH41" s="75"/>
    </row>
    <row r="42" spans="2:60" customFormat="1" ht="14.4">
      <c r="C42" s="400" t="s">
        <v>292</v>
      </c>
      <c r="D42" s="401"/>
      <c r="E42" s="446">
        <f>(E40/E41)*(1-(0.21/(E39*0.21)))</f>
        <v>0.12786596119929458</v>
      </c>
      <c r="F42" t="s">
        <v>352</v>
      </c>
      <c r="J42" s="1"/>
      <c r="AJ42" s="75"/>
      <c r="AK42" s="75"/>
      <c r="AL42" s="75" t="s">
        <v>301</v>
      </c>
      <c r="AM42" s="75">
        <v>0.9</v>
      </c>
      <c r="AN42" s="175" t="s">
        <v>307</v>
      </c>
      <c r="AO42" s="75">
        <v>0.94</v>
      </c>
      <c r="AP42" s="175" t="s">
        <v>307</v>
      </c>
      <c r="AQ42" s="75">
        <v>850</v>
      </c>
      <c r="AR42" s="75" t="s">
        <v>308</v>
      </c>
      <c r="AS42" s="75"/>
      <c r="AT42" s="75"/>
      <c r="AU42" s="75">
        <v>7.71</v>
      </c>
      <c r="AV42" s="75" t="s">
        <v>309</v>
      </c>
      <c r="AW42" s="75">
        <v>7.13</v>
      </c>
      <c r="AX42" s="75" t="s">
        <v>199</v>
      </c>
      <c r="AY42" s="75"/>
      <c r="AZ42" s="75"/>
      <c r="BA42" s="177" t="s">
        <v>310</v>
      </c>
      <c r="BB42" s="75"/>
      <c r="BC42" s="75"/>
      <c r="BD42" s="75"/>
      <c r="BE42" s="75"/>
      <c r="BF42" s="75"/>
      <c r="BG42" s="75"/>
      <c r="BH42" s="75"/>
    </row>
    <row r="43" spans="2:60" customFormat="1" ht="25.5" customHeight="1">
      <c r="C43" s="448" t="str">
        <f>IF(E42&lt;0.149,"Achtung Verpflichtung zur Nutzung von erneuerbaren Energien nach § 17 Absatz 1 HmbKliSchG wird erstmal nicht eingehalten!","")</f>
        <v>Achtung Verpflichtung zur Nutzung von erneuerbaren Energien nach § 17 Absatz 1 HmbKliSchG wird erstmal nicht eingehalten!</v>
      </c>
      <c r="D43" s="448"/>
      <c r="E43" s="448"/>
      <c r="J43" s="1"/>
      <c r="AJ43" s="75"/>
      <c r="AK43" s="75"/>
      <c r="AL43" s="75" t="s">
        <v>7</v>
      </c>
      <c r="AM43" s="75">
        <v>1</v>
      </c>
      <c r="AN43" s="75" t="s">
        <v>311</v>
      </c>
      <c r="AO43" s="75">
        <v>1</v>
      </c>
      <c r="AP43" s="75" t="s">
        <v>311</v>
      </c>
      <c r="AQ43" s="75">
        <v>4.9000000000000004</v>
      </c>
      <c r="AR43" s="75" t="s">
        <v>312</v>
      </c>
      <c r="AS43" s="75"/>
      <c r="AT43" s="75"/>
      <c r="AU43" s="75">
        <v>5.42</v>
      </c>
      <c r="AV43" s="75" t="s">
        <v>313</v>
      </c>
      <c r="AW43" s="75">
        <v>0.92</v>
      </c>
      <c r="AX43" s="175" t="s">
        <v>307</v>
      </c>
      <c r="AY43" s="75"/>
      <c r="AZ43" s="75"/>
      <c r="BA43" s="75"/>
      <c r="BB43" s="75"/>
      <c r="BC43" s="75"/>
      <c r="BD43" s="75"/>
      <c r="BE43" s="75"/>
      <c r="BF43" s="75"/>
      <c r="BG43" s="75"/>
      <c r="BH43" s="75"/>
    </row>
    <row r="44" spans="2:60" customFormat="1" ht="13.9" customHeight="1">
      <c r="J44" s="1"/>
      <c r="AJ44" s="75"/>
      <c r="AK44" s="75"/>
      <c r="AL44" s="75" t="s">
        <v>27</v>
      </c>
      <c r="AM44" s="75"/>
      <c r="AN44" s="75"/>
      <c r="AO44" s="75"/>
      <c r="AP44" s="75"/>
      <c r="AQ44" s="75"/>
      <c r="AR44" s="75"/>
      <c r="AS44" s="75"/>
      <c r="AT44" s="75"/>
      <c r="AU44" s="75"/>
      <c r="AV44" s="75"/>
      <c r="AW44" s="75">
        <v>1</v>
      </c>
      <c r="AX44" s="75" t="s">
        <v>311</v>
      </c>
      <c r="AY44" s="75"/>
      <c r="AZ44" s="75"/>
      <c r="BA44" s="75"/>
      <c r="BB44" s="75"/>
      <c r="BC44" s="75"/>
      <c r="BD44" s="75"/>
      <c r="BE44" s="75"/>
      <c r="BF44" s="75"/>
      <c r="BG44" s="75"/>
      <c r="BH44" s="75"/>
    </row>
    <row r="45" spans="2:60" customFormat="1" ht="15.6">
      <c r="B45" t="s">
        <v>314</v>
      </c>
      <c r="C45" s="449" t="s">
        <v>358</v>
      </c>
      <c r="J45" s="1"/>
      <c r="AJ45" s="75"/>
      <c r="AK45" s="75"/>
      <c r="AL45" s="75" t="s">
        <v>302</v>
      </c>
      <c r="AM45" s="75"/>
      <c r="AN45" s="75"/>
      <c r="AO45" s="75"/>
      <c r="AP45" s="75"/>
      <c r="AQ45" s="75"/>
      <c r="AR45" s="75"/>
      <c r="AS45" s="75"/>
      <c r="AT45" s="75"/>
      <c r="AU45" s="75"/>
      <c r="AV45" s="75"/>
      <c r="AW45" s="75"/>
      <c r="AX45" s="75"/>
      <c r="AY45" s="75"/>
      <c r="AZ45" s="75"/>
      <c r="BA45" s="75"/>
      <c r="BB45" s="75"/>
      <c r="BC45" s="75"/>
      <c r="BD45" s="75"/>
      <c r="BE45" s="75"/>
      <c r="BF45" s="75"/>
      <c r="BG45" s="75"/>
      <c r="BH45" s="75"/>
    </row>
    <row r="46" spans="2:60" customFormat="1">
      <c r="D46" s="1"/>
      <c r="E46" t="s">
        <v>372</v>
      </c>
      <c r="G46" t="s">
        <v>315</v>
      </c>
      <c r="J46" s="1"/>
      <c r="AJ46" s="75"/>
      <c r="AK46" s="75"/>
      <c r="AL46" s="75" t="s">
        <v>192</v>
      </c>
      <c r="AM46" s="75"/>
      <c r="AN46" s="75"/>
      <c r="AO46" s="75"/>
      <c r="AP46" s="75"/>
      <c r="AQ46" s="75"/>
      <c r="AR46" s="75"/>
      <c r="AS46" s="75"/>
      <c r="AT46" s="75"/>
      <c r="AU46" s="75"/>
      <c r="AV46" s="75"/>
      <c r="AW46" s="75"/>
      <c r="AX46" s="75"/>
      <c r="AY46" s="75"/>
      <c r="AZ46" s="75"/>
      <c r="BA46" s="75"/>
      <c r="BB46" s="75"/>
      <c r="BC46" s="75"/>
      <c r="BD46" s="75"/>
      <c r="BE46" s="75"/>
      <c r="BF46" s="75"/>
      <c r="BG46" s="75"/>
      <c r="BH46" s="75"/>
    </row>
    <row r="47" spans="2:60" customFormat="1">
      <c r="B47" t="s">
        <v>348</v>
      </c>
      <c r="C47" s="408" t="s">
        <v>316</v>
      </c>
      <c r="D47" s="409"/>
      <c r="E47" s="441">
        <v>35</v>
      </c>
      <c r="F47" s="27"/>
      <c r="J47" s="1"/>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row>
    <row r="48" spans="2:60" customFormat="1">
      <c r="C48" s="408" t="s">
        <v>317</v>
      </c>
      <c r="D48" s="409"/>
      <c r="E48" s="441">
        <v>2.2000000000000002</v>
      </c>
      <c r="F48" s="27" t="s">
        <v>318</v>
      </c>
      <c r="J48" s="1"/>
      <c r="AJ48" s="75"/>
      <c r="AK48" s="75"/>
      <c r="AL48" s="75"/>
      <c r="AM48" s="75"/>
      <c r="AN48" s="75"/>
      <c r="AO48" s="75" t="s">
        <v>319</v>
      </c>
      <c r="AP48" s="75"/>
      <c r="AQ48" s="75"/>
      <c r="AR48" s="75"/>
      <c r="AS48" s="75"/>
      <c r="AT48" s="75"/>
      <c r="AU48" s="75"/>
      <c r="AV48" s="75"/>
      <c r="AW48" s="75"/>
      <c r="AX48" s="75"/>
      <c r="AY48" s="75"/>
      <c r="AZ48" s="75"/>
      <c r="BA48" s="75"/>
      <c r="BB48" s="75"/>
      <c r="BC48" s="75"/>
      <c r="BD48" s="75"/>
      <c r="BE48" s="75"/>
      <c r="BF48" s="75"/>
      <c r="BG48" s="75"/>
      <c r="BH48" s="75"/>
    </row>
    <row r="49" spans="2:60" customFormat="1">
      <c r="C49" s="408" t="s">
        <v>320</v>
      </c>
      <c r="D49" s="409"/>
      <c r="E49" s="444">
        <f>E48*365*E47</f>
        <v>28105.000000000004</v>
      </c>
      <c r="F49" s="27" t="s">
        <v>321</v>
      </c>
      <c r="J49" s="1"/>
      <c r="AJ49" s="75"/>
      <c r="AK49" s="75"/>
      <c r="AL49" s="75"/>
      <c r="AM49" s="75"/>
      <c r="AN49" s="75"/>
      <c r="AO49" s="75"/>
      <c r="AP49" s="75"/>
      <c r="AQ49" s="75"/>
      <c r="AR49" s="75" t="s">
        <v>322</v>
      </c>
      <c r="AS49" s="75"/>
      <c r="AT49" s="75"/>
      <c r="AU49" s="75"/>
      <c r="AV49" s="75"/>
      <c r="AW49" s="75"/>
      <c r="AX49" s="75"/>
      <c r="AY49" s="75"/>
      <c r="AZ49" s="75"/>
      <c r="BA49" s="75"/>
      <c r="BB49" s="75"/>
      <c r="BC49" s="75"/>
      <c r="BD49" s="75"/>
      <c r="BE49" s="75"/>
      <c r="BF49" s="75"/>
      <c r="BG49" s="75"/>
      <c r="BH49" s="75"/>
    </row>
    <row r="50" spans="2:60" customFormat="1">
      <c r="D50" s="1"/>
      <c r="J50" s="1"/>
      <c r="AJ50" s="75"/>
      <c r="AK50" s="75"/>
      <c r="AL50" s="75"/>
      <c r="AM50" s="75"/>
      <c r="AN50" s="75"/>
      <c r="AO50" s="178" t="s">
        <v>323</v>
      </c>
      <c r="AP50" s="313" t="s">
        <v>324</v>
      </c>
      <c r="AQ50" s="313"/>
      <c r="AR50" s="313"/>
      <c r="AS50" s="313"/>
      <c r="AT50" s="313" t="s">
        <v>325</v>
      </c>
      <c r="AU50" s="313"/>
      <c r="AV50" s="313"/>
      <c r="AW50" s="75"/>
      <c r="AX50" s="75"/>
      <c r="AY50" s="75"/>
      <c r="AZ50" s="75"/>
      <c r="BA50" s="75"/>
      <c r="BB50" s="75"/>
      <c r="BC50" s="75"/>
      <c r="BD50" s="75"/>
      <c r="BE50" s="75"/>
      <c r="BF50" s="75"/>
      <c r="BG50" s="75"/>
      <c r="BH50" s="75"/>
    </row>
    <row r="51" spans="2:60" customFormat="1">
      <c r="B51" t="s">
        <v>349</v>
      </c>
      <c r="C51" s="408" t="s">
        <v>326</v>
      </c>
      <c r="D51" s="409"/>
      <c r="E51" s="444">
        <v>20</v>
      </c>
      <c r="F51" s="27" t="s">
        <v>327</v>
      </c>
      <c r="J51" s="1"/>
      <c r="AJ51" s="75"/>
      <c r="AK51" s="75"/>
      <c r="AL51" s="75"/>
      <c r="AM51" s="75"/>
      <c r="AN51" s="75"/>
      <c r="AO51" s="179" t="s">
        <v>328</v>
      </c>
      <c r="AP51" s="179" t="s">
        <v>329</v>
      </c>
      <c r="AQ51" s="179"/>
      <c r="AR51" s="179" t="s">
        <v>330</v>
      </c>
      <c r="AS51" s="179" t="s">
        <v>331</v>
      </c>
      <c r="AT51" s="179" t="s">
        <v>332</v>
      </c>
      <c r="AU51" s="179" t="s">
        <v>333</v>
      </c>
      <c r="AV51" s="179" t="s">
        <v>334</v>
      </c>
      <c r="AW51" s="75"/>
      <c r="AX51" s="75"/>
      <c r="AY51" s="75"/>
      <c r="AZ51" s="75"/>
      <c r="BA51" s="75"/>
      <c r="BB51" s="75"/>
      <c r="BC51" s="75"/>
      <c r="BD51" s="75"/>
      <c r="BE51" s="75"/>
      <c r="BF51" s="75"/>
      <c r="BG51" s="75"/>
      <c r="BH51" s="75"/>
    </row>
    <row r="52" spans="2:60" customFormat="1">
      <c r="C52" s="408" t="s">
        <v>320</v>
      </c>
      <c r="D52" s="409"/>
      <c r="E52" s="444">
        <f>E51*E24</f>
        <v>3780</v>
      </c>
      <c r="F52" s="27" t="s">
        <v>321</v>
      </c>
      <c r="J52" s="1"/>
      <c r="AJ52" s="75"/>
      <c r="AK52" s="75"/>
      <c r="AL52" s="75"/>
      <c r="AM52" s="75"/>
      <c r="AN52" s="75"/>
      <c r="AO52" s="178">
        <v>1</v>
      </c>
      <c r="AP52" s="75"/>
      <c r="AQ52" s="75"/>
      <c r="AR52" s="75"/>
      <c r="AS52" s="75"/>
      <c r="AT52" s="75"/>
      <c r="AU52" s="75"/>
      <c r="AV52" s="75"/>
      <c r="AW52" s="75"/>
      <c r="AX52" s="75"/>
      <c r="AY52" s="75"/>
      <c r="AZ52" s="75"/>
      <c r="BA52" s="75"/>
      <c r="BB52" s="75"/>
      <c r="BC52" s="75"/>
      <c r="BD52" s="75"/>
      <c r="BE52" s="75"/>
      <c r="BF52" s="75"/>
      <c r="BG52" s="75"/>
      <c r="BH52" s="75"/>
    </row>
    <row r="53" spans="2:60" customFormat="1">
      <c r="J53" s="1"/>
      <c r="AJ53" s="75"/>
      <c r="AK53" s="75"/>
      <c r="AL53" s="75"/>
      <c r="AM53" s="75"/>
      <c r="AN53" s="75"/>
      <c r="AO53" s="178">
        <v>2</v>
      </c>
      <c r="AP53" s="75"/>
      <c r="AQ53" s="75"/>
      <c r="AR53" s="75"/>
      <c r="AS53" s="75"/>
      <c r="AT53" s="75"/>
      <c r="AU53" s="75"/>
      <c r="AV53" s="75"/>
      <c r="AW53" s="75"/>
      <c r="AX53" s="75"/>
      <c r="AY53" s="75"/>
      <c r="AZ53" s="75"/>
      <c r="BA53" s="75"/>
      <c r="BB53" s="75"/>
      <c r="BC53" s="75"/>
      <c r="BD53" s="75"/>
      <c r="BE53" s="75"/>
      <c r="BF53" s="75"/>
      <c r="BG53" s="75"/>
      <c r="BH53" s="75"/>
    </row>
    <row r="54" spans="2:60" customFormat="1">
      <c r="B54" t="s">
        <v>350</v>
      </c>
      <c r="C54" s="408" t="s">
        <v>335</v>
      </c>
      <c r="D54" s="409"/>
      <c r="E54" s="444">
        <v>32</v>
      </c>
      <c r="F54" s="27" t="s">
        <v>336</v>
      </c>
      <c r="G54" t="s">
        <v>337</v>
      </c>
      <c r="J54" s="1"/>
      <c r="AJ54" s="75"/>
      <c r="AK54" s="75"/>
      <c r="AL54" s="75"/>
      <c r="AM54" s="75"/>
      <c r="AN54" s="75"/>
      <c r="AO54" s="178">
        <v>3</v>
      </c>
      <c r="AP54" s="75"/>
      <c r="AQ54" s="75"/>
      <c r="AR54" s="75"/>
      <c r="AS54" s="75"/>
      <c r="AT54" s="75"/>
      <c r="AU54" s="75"/>
      <c r="AV54" s="75"/>
      <c r="AW54" s="75"/>
      <c r="AX54" s="75"/>
      <c r="AY54" s="75"/>
      <c r="AZ54" s="75"/>
      <c r="BA54" s="75"/>
      <c r="BB54" s="75"/>
      <c r="BC54" s="75"/>
      <c r="BD54" s="75"/>
      <c r="BE54" s="75"/>
      <c r="BF54" s="75"/>
      <c r="BG54" s="75"/>
      <c r="BH54" s="75"/>
    </row>
    <row r="55" spans="2:60" customFormat="1">
      <c r="C55" s="408" t="s">
        <v>371</v>
      </c>
      <c r="D55" s="409"/>
      <c r="E55" s="77">
        <f>E24</f>
        <v>189</v>
      </c>
      <c r="F55" s="27" t="s">
        <v>263</v>
      </c>
      <c r="G55" t="s">
        <v>369</v>
      </c>
      <c r="J55" s="1"/>
      <c r="AJ55" s="75"/>
      <c r="AK55" s="75"/>
      <c r="AL55" s="75"/>
      <c r="AM55" s="75"/>
      <c r="AN55" s="75"/>
      <c r="AO55" s="178">
        <v>4</v>
      </c>
      <c r="AP55" s="75"/>
      <c r="AQ55" s="75"/>
      <c r="AR55" s="75"/>
      <c r="AS55" s="75"/>
      <c r="AT55" s="75"/>
      <c r="AU55" s="75"/>
      <c r="AV55" s="75"/>
      <c r="AW55" s="75"/>
      <c r="AX55" s="75"/>
      <c r="AY55" s="75"/>
      <c r="AZ55" s="75"/>
      <c r="BA55" s="75"/>
      <c r="BB55" s="75"/>
      <c r="BC55" s="75"/>
      <c r="BD55" s="75"/>
      <c r="BE55" s="75"/>
      <c r="BF55" s="75"/>
      <c r="BG55" s="75"/>
      <c r="BH55" s="75"/>
    </row>
    <row r="56" spans="2:60" customFormat="1">
      <c r="C56" s="408" t="s">
        <v>320</v>
      </c>
      <c r="D56" s="409"/>
      <c r="E56" s="444">
        <f>ROUND(32*E55,0)</f>
        <v>6048</v>
      </c>
      <c r="F56" s="27" t="s">
        <v>321</v>
      </c>
      <c r="J56" s="1"/>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c r="BH56" s="75"/>
    </row>
    <row r="57" spans="2:60" customFormat="1">
      <c r="J57" s="1"/>
      <c r="AJ57" s="75"/>
      <c r="AK57" s="75"/>
      <c r="AL57" s="75"/>
      <c r="AM57" s="75"/>
      <c r="AN57" s="75"/>
      <c r="AO57" s="75"/>
      <c r="AP57" s="75"/>
      <c r="AQ57" s="75"/>
      <c r="AR57" s="75"/>
      <c r="AS57" s="75"/>
      <c r="AT57" s="75"/>
      <c r="AU57" s="75"/>
      <c r="AV57" s="75"/>
      <c r="AW57" s="75"/>
      <c r="AX57" s="75"/>
      <c r="AY57" s="75"/>
      <c r="AZ57" s="75"/>
      <c r="BA57" s="75"/>
      <c r="BB57" s="75"/>
      <c r="BC57" s="75"/>
      <c r="BD57" s="75"/>
      <c r="BE57" s="75"/>
      <c r="BF57" s="75"/>
      <c r="BG57" s="75"/>
      <c r="BH57" s="75"/>
    </row>
    <row r="58" spans="2:60" customFormat="1">
      <c r="B58" t="s">
        <v>351</v>
      </c>
      <c r="C58" t="s">
        <v>362</v>
      </c>
      <c r="J58" s="1"/>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5"/>
      <c r="BH58" s="75"/>
    </row>
    <row r="59" spans="2:60" customFormat="1">
      <c r="C59" s="408" t="s">
        <v>283</v>
      </c>
      <c r="D59" s="409"/>
      <c r="E59" s="441">
        <v>3</v>
      </c>
      <c r="F59" s="27"/>
      <c r="G59" t="s">
        <v>338</v>
      </c>
      <c r="J59" s="1"/>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row>
    <row r="60" spans="2:60" customFormat="1" ht="24.4" customHeight="1">
      <c r="C60" s="400" t="s">
        <v>286</v>
      </c>
      <c r="D60" s="401"/>
      <c r="E60" s="441">
        <v>4000</v>
      </c>
      <c r="F60" s="27" t="s">
        <v>31</v>
      </c>
      <c r="G60" t="s">
        <v>339</v>
      </c>
      <c r="J60" s="1"/>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row>
    <row r="61" spans="2:60" customFormat="1">
      <c r="C61" s="408" t="s">
        <v>340</v>
      </c>
      <c r="D61" s="409"/>
      <c r="E61" s="450">
        <f>(E60/E33)*(1-(0.5/(E59*0.21)))</f>
        <v>4.3671789703535739E-2</v>
      </c>
      <c r="F61" s="27"/>
      <c r="I61" s="1"/>
      <c r="J61" s="1"/>
      <c r="K61" s="1"/>
      <c r="L61" s="1"/>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row>
    <row r="62" spans="2:60" customFormat="1" ht="76" customHeight="1">
      <c r="C62" s="451" t="s">
        <v>341</v>
      </c>
      <c r="D62" s="451"/>
      <c r="E62" s="451"/>
      <c r="F62" s="295"/>
      <c r="G62" s="295"/>
      <c r="J62" s="1"/>
      <c r="K62" s="1"/>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row>
    <row r="63" spans="2:60" customFormat="1" ht="13.8">
      <c r="B63" t="s">
        <v>342</v>
      </c>
      <c r="C63" s="440" t="s">
        <v>282</v>
      </c>
      <c r="G63" s="295"/>
      <c r="J63" s="1"/>
      <c r="K63" s="1"/>
      <c r="L63" s="1"/>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row>
    <row r="64" spans="2:60" customFormat="1" ht="18.399999999999999" customHeight="1">
      <c r="C64" s="452" t="s">
        <v>344</v>
      </c>
      <c r="D64" s="453"/>
      <c r="E64" s="453"/>
      <c r="F64" s="454"/>
      <c r="G64" s="295"/>
      <c r="J64" s="1"/>
      <c r="K64" s="1"/>
      <c r="L64" s="1"/>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row>
    <row r="65" spans="2:73" customFormat="1" ht="12.4" customHeight="1">
      <c r="C65" t="str">
        <f>IF(C64=AO66,AO67,"")</f>
        <v/>
      </c>
      <c r="D65" s="455"/>
      <c r="E65" s="455"/>
      <c r="F65" s="455"/>
      <c r="G65" s="455"/>
      <c r="J65" s="1"/>
      <c r="K65" s="1"/>
      <c r="L65" s="1"/>
      <c r="AB65" s="1"/>
      <c r="AC65" s="1"/>
      <c r="AD65" s="1"/>
      <c r="AE65" s="1"/>
      <c r="AF65" s="1"/>
      <c r="AG65" s="1"/>
      <c r="AH65" s="1"/>
      <c r="AI65" s="1"/>
      <c r="AJ65" s="1"/>
      <c r="AK65" s="1"/>
      <c r="AM65" s="1"/>
      <c r="AN65" s="75"/>
      <c r="AO65" s="75" t="s">
        <v>344</v>
      </c>
      <c r="AP65" s="75"/>
      <c r="AQ65" s="75"/>
      <c r="AR65" s="75"/>
      <c r="AS65" s="75"/>
      <c r="AT65" s="75"/>
      <c r="AU65" s="75"/>
      <c r="AV65" s="75"/>
      <c r="AW65" s="75"/>
      <c r="AX65" s="75"/>
      <c r="AY65" s="75"/>
      <c r="AZ65" s="75"/>
      <c r="BA65" s="75"/>
      <c r="BB65" s="75"/>
      <c r="BC65" s="75"/>
      <c r="BD65" s="75"/>
      <c r="BE65" s="75"/>
      <c r="BF65" s="75"/>
      <c r="BG65" s="75"/>
      <c r="BH65" s="75"/>
    </row>
    <row r="66" spans="2:73" customFormat="1">
      <c r="B66" t="s">
        <v>392</v>
      </c>
      <c r="C66" s="1" t="s">
        <v>393</v>
      </c>
      <c r="J66" s="1"/>
      <c r="K66" s="1"/>
      <c r="L66" s="1"/>
      <c r="M66" s="1"/>
      <c r="N66" s="1"/>
      <c r="AB66" s="1"/>
      <c r="AC66" s="1"/>
      <c r="AD66" s="1"/>
      <c r="AE66" s="1"/>
      <c r="AF66" s="1"/>
      <c r="AG66" s="1"/>
      <c r="AH66" s="1"/>
      <c r="AI66" s="1"/>
      <c r="AJ66" s="1"/>
      <c r="AK66" s="1"/>
      <c r="AM66" s="1"/>
      <c r="AN66" s="75"/>
      <c r="AO66" s="75" t="s">
        <v>343</v>
      </c>
      <c r="AP66" s="75"/>
      <c r="AQ66" s="75"/>
      <c r="AR66" s="75"/>
      <c r="AS66" s="75"/>
      <c r="AT66" s="75"/>
      <c r="AU66" s="75"/>
      <c r="AV66" s="75"/>
      <c r="AW66" s="75"/>
      <c r="AX66" s="75"/>
      <c r="AY66" s="75"/>
      <c r="AZ66" s="75"/>
      <c r="BA66" s="75"/>
      <c r="BB66" s="75"/>
      <c r="BC66" s="75"/>
      <c r="BD66" s="75"/>
      <c r="BE66" s="75"/>
      <c r="BF66" s="75"/>
      <c r="BG66" s="75"/>
      <c r="BH66" s="75"/>
    </row>
    <row r="67" spans="2:73" customFormat="1">
      <c r="C67" s="456" t="s">
        <v>393</v>
      </c>
      <c r="D67" s="457"/>
      <c r="E67" s="458">
        <v>0.02</v>
      </c>
      <c r="H67" s="1"/>
      <c r="I67" s="1"/>
      <c r="J67" s="1"/>
      <c r="K67" s="1"/>
      <c r="L67" s="459"/>
      <c r="M67" s="460" t="s">
        <v>376</v>
      </c>
      <c r="O67" s="461" t="s">
        <v>345</v>
      </c>
      <c r="P67" s="462"/>
      <c r="Q67" s="462"/>
      <c r="R67" s="462"/>
      <c r="S67" s="463"/>
      <c r="AB67" s="1"/>
      <c r="AC67" s="1"/>
      <c r="AD67" s="1"/>
      <c r="AE67" s="1"/>
      <c r="AF67" s="1"/>
      <c r="AG67" s="1"/>
      <c r="AH67" s="1"/>
      <c r="AI67" s="1"/>
      <c r="AJ67" s="1"/>
      <c r="AK67" s="1"/>
      <c r="AM67" s="1"/>
      <c r="AN67" s="75"/>
      <c r="AO67" s="75" t="str">
        <f>CONCATENATE("Von 15% EE Anforderung; sind nur noch ",(15-(15*(1/6)))," % erforderlich.")</f>
        <v>Von 15% EE Anforderung; sind nur noch 12,5 % erforderlich.</v>
      </c>
      <c r="AP67" s="75"/>
      <c r="AQ67" s="75"/>
      <c r="AR67" s="75"/>
      <c r="AS67" s="75"/>
      <c r="AT67" s="75"/>
      <c r="AU67" s="75"/>
      <c r="AV67" s="75"/>
      <c r="AW67" s="75"/>
      <c r="AX67" s="75"/>
      <c r="AY67" s="75"/>
      <c r="AZ67" s="75"/>
      <c r="BA67" s="75"/>
      <c r="BB67" s="75"/>
      <c r="BC67" s="75"/>
      <c r="BD67" s="75"/>
      <c r="BE67" s="75"/>
      <c r="BF67" s="75"/>
      <c r="BG67" s="75"/>
      <c r="BH67" s="75"/>
    </row>
    <row r="68" spans="2:73" customFormat="1" ht="37.9" customHeight="1">
      <c r="B68" s="449" t="s">
        <v>375</v>
      </c>
      <c r="H68" s="1"/>
      <c r="I68" s="1"/>
      <c r="J68" s="1"/>
      <c r="K68" s="1"/>
      <c r="L68" s="464" t="s">
        <v>370</v>
      </c>
      <c r="M68" s="464" t="s">
        <v>353</v>
      </c>
      <c r="O68" s="465" t="s">
        <v>378</v>
      </c>
      <c r="P68" s="466" t="s">
        <v>379</v>
      </c>
      <c r="Q68" s="464" t="s">
        <v>380</v>
      </c>
      <c r="R68" s="464" t="s">
        <v>381</v>
      </c>
      <c r="S68" s="466" t="s">
        <v>382</v>
      </c>
      <c r="AB68" s="1"/>
      <c r="AC68" s="1"/>
      <c r="AD68" s="1"/>
      <c r="AE68" s="1"/>
      <c r="AF68" s="1"/>
      <c r="AG68" s="1"/>
      <c r="AH68" s="1"/>
      <c r="AI68" s="1"/>
      <c r="AJ68" s="1"/>
      <c r="AK68" s="1"/>
      <c r="AM68" s="1"/>
      <c r="AN68" s="75"/>
      <c r="AO68" s="75"/>
      <c r="AP68" s="75"/>
      <c r="AQ68" s="75"/>
      <c r="AR68" s="75"/>
      <c r="AS68" s="75"/>
      <c r="AT68" s="75"/>
      <c r="AU68" s="75"/>
      <c r="AV68" s="75"/>
      <c r="AW68" s="75"/>
      <c r="AX68" s="75"/>
      <c r="AY68" s="75"/>
      <c r="AZ68" s="75"/>
      <c r="BA68" s="75"/>
      <c r="BB68" s="75"/>
      <c r="BC68" s="75"/>
      <c r="BD68" s="75"/>
      <c r="BE68" s="75"/>
      <c r="BF68" s="75"/>
      <c r="BG68" s="75"/>
      <c r="BH68" s="75"/>
    </row>
    <row r="69" spans="2:73" customFormat="1" ht="14.4">
      <c r="B69" s="1"/>
      <c r="C69" s="467" t="s">
        <v>377</v>
      </c>
      <c r="D69" s="322"/>
      <c r="E69" s="468"/>
      <c r="F69" s="469" t="s">
        <v>251</v>
      </c>
      <c r="G69" s="470">
        <f>IF(F69=AV8,15-(15*(1/6)),15)</f>
        <v>15</v>
      </c>
      <c r="H69" s="471"/>
      <c r="I69" s="472"/>
      <c r="J69" s="472"/>
      <c r="K69" s="473"/>
      <c r="L69" s="474">
        <v>2000</v>
      </c>
      <c r="M69" s="474">
        <f>L69*0.2</f>
        <v>400</v>
      </c>
      <c r="N69" s="472"/>
      <c r="O69" s="475">
        <f>ROUND(L69/650,0)</f>
        <v>3</v>
      </c>
      <c r="P69" s="475">
        <f>ROUND(L69/100,0)</f>
        <v>20</v>
      </c>
      <c r="Q69" s="475">
        <f>ROUND(L69/250,0)</f>
        <v>8</v>
      </c>
      <c r="R69" s="475">
        <f>ROUND(L69/60,0)</f>
        <v>33</v>
      </c>
      <c r="S69" s="476">
        <f>ROUND(L69/30,0)</f>
        <v>67</v>
      </c>
      <c r="AB69" s="1"/>
      <c r="AC69" s="1"/>
      <c r="AD69" s="1"/>
      <c r="AE69" s="1"/>
      <c r="AF69" s="1"/>
      <c r="AG69" s="1"/>
      <c r="AH69" s="1"/>
      <c r="AI69" s="1"/>
      <c r="AJ69" s="1"/>
      <c r="AK69" s="1"/>
      <c r="AM69" s="1"/>
    </row>
    <row r="70" spans="2:73" customFormat="1" ht="33.4" customHeight="1">
      <c r="B70" s="1"/>
      <c r="C70" s="477" t="s">
        <v>406</v>
      </c>
      <c r="D70" s="321"/>
      <c r="E70" s="478"/>
      <c r="F70" s="469" t="s">
        <v>251</v>
      </c>
      <c r="G70" s="479">
        <f>IF(F70=AV8,CONCATENATE("Keine weiteren Anforderungen bei kleiner 50kW Heizleistung"),0)</f>
        <v>0</v>
      </c>
      <c r="H70" s="480"/>
      <c r="I70" s="480"/>
      <c r="J70" s="480"/>
      <c r="K70" s="481"/>
      <c r="L70" s="482">
        <f>((E33*0.06)*1.3)-(E33*0.06)</f>
        <v>340.20000000000005</v>
      </c>
      <c r="M70" s="482">
        <f>L70</f>
        <v>340.20000000000005</v>
      </c>
      <c r="N70" s="472"/>
      <c r="O70" s="475">
        <f>ROUND(L70/650,0)</f>
        <v>1</v>
      </c>
      <c r="P70" s="475">
        <f>ROUND(L70/100,0)</f>
        <v>3</v>
      </c>
      <c r="Q70" s="475">
        <f>ROUND(L70/250,0)</f>
        <v>1</v>
      </c>
      <c r="R70" s="475">
        <f>ROUND(L70/60,0)</f>
        <v>6</v>
      </c>
      <c r="S70" s="476">
        <f>ROUND(L70/30,0)</f>
        <v>11</v>
      </c>
      <c r="T70" s="483" t="s">
        <v>384</v>
      </c>
      <c r="U70" s="1"/>
      <c r="V70" s="1"/>
      <c r="W70" s="1"/>
      <c r="X70" s="1"/>
      <c r="Y70" s="1"/>
      <c r="Z70" s="1"/>
      <c r="AA70" s="1"/>
      <c r="AB70" s="1"/>
      <c r="AC70" s="1"/>
      <c r="AD70" s="1"/>
      <c r="AE70" s="1"/>
      <c r="AF70" s="1"/>
      <c r="AG70" s="1"/>
      <c r="AH70" s="1"/>
      <c r="AI70" s="1"/>
      <c r="AJ70" s="1"/>
      <c r="AK70" s="1"/>
      <c r="AM70" s="1"/>
    </row>
    <row r="71" spans="2:73" customFormat="1" ht="33.4" customHeight="1">
      <c r="B71" s="1"/>
      <c r="C71" s="484" t="str">
        <f>CONCATENATE("HmbKliSchG §17 (2) Solar: min. ",ROUND(E25,1)," m² / ", ROUND(E26,1)," m² vorgesehen / vorhanden")</f>
        <v>HmbKliSchG §17 (2) Solar: min. 5,7 m² / 7,6 m² vorgesehen / vorhanden</v>
      </c>
      <c r="D71" s="451"/>
      <c r="E71" s="485"/>
      <c r="F71" s="486" t="s">
        <v>251</v>
      </c>
      <c r="G71" s="479">
        <f>IF(F71=AV8,CONCATENATE("Keine weiteren Anforderungen bei ",E25,"",F25," (max zwei Wohneinheiten) oder",E26," ",F26,"mehr als zwei WE"),0)</f>
        <v>0</v>
      </c>
      <c r="H71" s="480"/>
      <c r="I71" s="480"/>
      <c r="J71" s="480"/>
      <c r="K71" s="481"/>
      <c r="L71" s="482">
        <v>8000</v>
      </c>
      <c r="M71" s="482">
        <f>IF(F69=AV8,L71*0.65,L71*0.7)</f>
        <v>5600</v>
      </c>
      <c r="N71" s="472"/>
      <c r="O71" s="475">
        <f>ROUND(L71/650,0)</f>
        <v>12</v>
      </c>
      <c r="P71" s="475">
        <f>ROUND(L71/100,0)</f>
        <v>80</v>
      </c>
      <c r="Q71" s="475">
        <f>ROUND(L71/250,0)</f>
        <v>32</v>
      </c>
      <c r="R71" s="475">
        <f>ROUND(L71/60,0)</f>
        <v>133</v>
      </c>
      <c r="S71" s="476">
        <f>ROUND(L71/30,0)</f>
        <v>267</v>
      </c>
      <c r="AB71" s="1"/>
      <c r="AC71" s="1"/>
      <c r="AD71" s="1"/>
      <c r="AE71" s="1"/>
      <c r="AF71" s="1"/>
      <c r="AG71" s="1"/>
      <c r="AH71" s="1"/>
      <c r="AI71" s="1"/>
      <c r="AJ71" s="1"/>
      <c r="AK71" s="1"/>
      <c r="AM71" s="1"/>
    </row>
    <row r="72" spans="2:73" customFormat="1" ht="14.4">
      <c r="B72" s="1"/>
      <c r="C72" s="467" t="str">
        <f>CONCATENATE( "DV § 6 (3) WP Strom und anderer Erzeuger ",G32)</f>
        <v>DV § 6 (3) WP Strom und anderer Erzeuger Deckungsgrad 42%</v>
      </c>
      <c r="D72" s="322"/>
      <c r="E72" s="468"/>
      <c r="F72" s="469" t="s">
        <v>251</v>
      </c>
      <c r="G72" s="470">
        <f>IF(F72=AV8,E34*100,0)</f>
        <v>0</v>
      </c>
      <c r="H72" s="471"/>
      <c r="I72" s="472"/>
      <c r="J72" s="472"/>
      <c r="K72" s="473"/>
      <c r="L72" s="474">
        <v>16000</v>
      </c>
      <c r="M72" s="474">
        <f>IF(F69=AV8,L72*0.6,L72*0.65)</f>
        <v>10400</v>
      </c>
      <c r="N72" s="472"/>
      <c r="O72" s="475">
        <f>ROUND(L72/650,0)</f>
        <v>25</v>
      </c>
      <c r="P72" s="475">
        <f>ROUND(L72/100,0)</f>
        <v>160</v>
      </c>
      <c r="Q72" s="475">
        <f>ROUND(L72/250,0)</f>
        <v>64</v>
      </c>
      <c r="R72" s="475">
        <f>ROUND(L72/60,0)</f>
        <v>267</v>
      </c>
      <c r="S72" s="476">
        <f>ROUND(L72/30,0)</f>
        <v>533</v>
      </c>
      <c r="AB72" s="1"/>
      <c r="AC72" s="1"/>
      <c r="AD72" s="1"/>
      <c r="AE72" s="1"/>
      <c r="AF72" s="1"/>
      <c r="AG72" s="1"/>
      <c r="AH72" s="1"/>
      <c r="AI72" s="1"/>
      <c r="AJ72" s="1"/>
      <c r="AK72" s="1"/>
      <c r="AM72" s="1"/>
    </row>
    <row r="73" spans="2:73" customFormat="1" ht="14.4">
      <c r="B73" s="1"/>
      <c r="C73" s="467" t="str">
        <f>CONCATENATE("DV § 10 (4)  WP Gas und anderer Erzeuger ",G40)</f>
        <v>DV § 10 (4)  WP Gas und anderer Erzeuger Deckungsgrad 77%</v>
      </c>
      <c r="D73" s="322"/>
      <c r="E73" s="468"/>
      <c r="F73" s="469" t="s">
        <v>251</v>
      </c>
      <c r="G73" s="470">
        <f>IF(F73=AV8,E42*100,0)</f>
        <v>0</v>
      </c>
      <c r="H73" s="471"/>
      <c r="I73" s="472"/>
      <c r="J73" s="472"/>
      <c r="K73" s="473"/>
      <c r="L73" s="474">
        <v>24000</v>
      </c>
      <c r="M73" s="474">
        <f>IF(F69=AV8,L73*0.6,L73*0.65)</f>
        <v>15600</v>
      </c>
      <c r="N73" s="472"/>
      <c r="O73" s="475">
        <f>ROUND(L73/650,0)</f>
        <v>37</v>
      </c>
      <c r="P73" s="475">
        <f>ROUND(L73/100,0)</f>
        <v>240</v>
      </c>
      <c r="Q73" s="475">
        <f>ROUND(L73/250,0)</f>
        <v>96</v>
      </c>
      <c r="R73" s="475">
        <f>ROUND(L73/60,0)</f>
        <v>400</v>
      </c>
      <c r="S73" s="476">
        <f>ROUND(L73/30,0)</f>
        <v>800</v>
      </c>
      <c r="AB73" s="1"/>
      <c r="AC73" s="1"/>
      <c r="AD73" s="1"/>
      <c r="AE73" s="1"/>
      <c r="AF73" s="1"/>
      <c r="AG73" s="1"/>
      <c r="AH73" s="1"/>
      <c r="AI73" s="1"/>
      <c r="AJ73" s="1"/>
      <c r="AK73" s="1"/>
      <c r="AM73" s="1"/>
    </row>
    <row r="74" spans="2:73" customFormat="1" ht="14.4">
      <c r="B74" s="1"/>
      <c r="C74" s="467" t="s">
        <v>346</v>
      </c>
      <c r="D74" s="322"/>
      <c r="E74" s="468"/>
      <c r="F74" s="469" t="s">
        <v>251</v>
      </c>
      <c r="G74" s="487">
        <f>IF(F74=AV8,E61*100,0)</f>
        <v>0</v>
      </c>
      <c r="H74" s="488"/>
      <c r="I74" s="1"/>
      <c r="J74" s="1"/>
      <c r="K74" s="1"/>
      <c r="L74" s="489"/>
      <c r="M74" s="490" t="s">
        <v>383</v>
      </c>
      <c r="O74" s="475">
        <f>0.23*P74</f>
        <v>47.429658442792949</v>
      </c>
      <c r="P74" s="475">
        <f>SQRT(E24)*2.5*4*1.5</f>
        <v>206.21590627301282</v>
      </c>
      <c r="Q74" s="475">
        <f>(SQRT(E24)^2+SQRT(E24)^2)*2</f>
        <v>756</v>
      </c>
      <c r="R74" s="475">
        <f>SQRT(E24)*SQRT(E24)</f>
        <v>189</v>
      </c>
      <c r="S74" s="476">
        <v>107.12142642814277</v>
      </c>
      <c r="AB74" s="1"/>
      <c r="AC74" s="1"/>
      <c r="AD74" s="1"/>
      <c r="AE74" s="1"/>
      <c r="AF74" s="1"/>
      <c r="AG74" s="1"/>
      <c r="AH74" s="1"/>
      <c r="AI74" s="1"/>
      <c r="AJ74" s="1"/>
      <c r="AK74" s="1"/>
      <c r="AM74" s="1"/>
    </row>
    <row r="75" spans="2:73" customFormat="1" ht="14.4">
      <c r="B75" s="1"/>
      <c r="C75" s="467" t="s">
        <v>394</v>
      </c>
      <c r="D75" s="322"/>
      <c r="E75" s="468"/>
      <c r="F75" s="491" t="s">
        <v>251</v>
      </c>
      <c r="G75" s="487">
        <f>IF(F75=AV8,E67*100,0)</f>
        <v>0</v>
      </c>
      <c r="H75" s="488"/>
      <c r="I75" s="1"/>
      <c r="J75" s="1"/>
      <c r="K75" s="1"/>
      <c r="M75" s="492"/>
      <c r="N75" s="492"/>
      <c r="O75" s="492"/>
      <c r="P75" s="492"/>
      <c r="Q75" s="492"/>
      <c r="R75" s="492"/>
      <c r="S75" s="492"/>
      <c r="T75" s="493"/>
    </row>
    <row r="76" spans="2:73" customFormat="1" ht="22.5" customHeight="1">
      <c r="C76" s="494" t="str">
        <f>IF(G76&lt;0.01,"Anforderung vermutlich erfüllt"," Anforderung vermutlich nicht erfüllt")</f>
        <v xml:space="preserve"> Anforderung vermutlich nicht erfüllt</v>
      </c>
      <c r="D76" s="494"/>
      <c r="E76" s="494"/>
      <c r="F76" s="494"/>
      <c r="G76" s="488">
        <f>IF(OR(F70=AV8,F71=AV8),-15,G69-G72-G73-G74-G75)</f>
        <v>15</v>
      </c>
      <c r="H76" s="488"/>
      <c r="I76" s="1"/>
      <c r="L76" s="1"/>
      <c r="M76" s="1"/>
      <c r="O76" s="1"/>
      <c r="P76" s="1"/>
      <c r="Q76" s="7"/>
      <c r="R76" s="1"/>
      <c r="S76" s="1"/>
      <c r="T76" s="1"/>
      <c r="U76" s="1"/>
      <c r="V76" s="1"/>
      <c r="W76" s="1"/>
      <c r="X76" s="1"/>
      <c r="Y76" s="1"/>
      <c r="Z76" s="1"/>
      <c r="AA76" s="1"/>
    </row>
    <row r="77" spans="2:73" s="31" customFormat="1">
      <c r="S77"/>
      <c r="T77"/>
      <c r="U77"/>
      <c r="V77"/>
      <c r="W77"/>
      <c r="X77"/>
      <c r="Y77"/>
      <c r="Z77"/>
      <c r="AA77"/>
      <c r="AB77"/>
      <c r="AC77"/>
    </row>
    <row r="78" spans="2:73" customFormat="1" ht="42.3" customHeight="1" thickBot="1">
      <c r="C78" s="314" t="s">
        <v>457</v>
      </c>
      <c r="D78" s="314"/>
      <c r="E78" s="314"/>
      <c r="F78" s="314"/>
      <c r="G78" s="314"/>
      <c r="H78" s="314"/>
      <c r="I78" s="314"/>
      <c r="J78" s="314"/>
      <c r="K78" s="314"/>
      <c r="L78" s="314"/>
      <c r="M78" s="314"/>
      <c r="O78" s="495" t="s">
        <v>12</v>
      </c>
      <c r="P78" s="496"/>
      <c r="Q78" s="497"/>
      <c r="S78" s="498" t="s">
        <v>385</v>
      </c>
      <c r="T78" s="436"/>
      <c r="U78" s="499">
        <v>41</v>
      </c>
      <c r="V78" s="500" t="s">
        <v>458</v>
      </c>
      <c r="W78" s="25"/>
      <c r="X78" s="25"/>
      <c r="Y78" s="25"/>
      <c r="Z78" s="25"/>
      <c r="AA78" s="24"/>
      <c r="AB78" s="501" t="s">
        <v>15</v>
      </c>
      <c r="AC78" s="502" t="s">
        <v>37</v>
      </c>
      <c r="AR78" s="503" t="s">
        <v>445</v>
      </c>
      <c r="AS78" s="504">
        <v>2</v>
      </c>
      <c r="AT78" s="505" t="s">
        <v>434</v>
      </c>
      <c r="BQ78" s="171" t="s">
        <v>454</v>
      </c>
      <c r="BT78" t="s">
        <v>443</v>
      </c>
      <c r="BU78" t="s">
        <v>443</v>
      </c>
    </row>
    <row r="79" spans="2:73" customFormat="1" ht="39.9" customHeight="1">
      <c r="C79" s="315" t="s">
        <v>217</v>
      </c>
      <c r="D79" s="315"/>
      <c r="E79" s="315"/>
      <c r="F79" s="315"/>
      <c r="G79" s="315"/>
      <c r="H79" s="315"/>
      <c r="I79" s="315"/>
      <c r="J79" s="315"/>
      <c r="K79" s="315"/>
      <c r="L79" s="315"/>
      <c r="M79" s="315"/>
      <c r="O79" s="506" t="s">
        <v>459</v>
      </c>
      <c r="P79" s="507" t="s">
        <v>24</v>
      </c>
      <c r="Q79" s="508"/>
      <c r="S79" s="180" t="s">
        <v>386</v>
      </c>
      <c r="X79" s="46"/>
      <c r="AA79" s="27"/>
      <c r="AB79" s="192">
        <v>2021</v>
      </c>
      <c r="AC79" s="193" t="s">
        <v>16</v>
      </c>
      <c r="AM79" s="31"/>
      <c r="AN79" s="31"/>
      <c r="AO79" s="31"/>
      <c r="AP79" s="31"/>
      <c r="AR79" s="503" t="s">
        <v>446</v>
      </c>
      <c r="AS79" s="504">
        <v>0.8</v>
      </c>
      <c r="AT79" s="505" t="s">
        <v>261</v>
      </c>
      <c r="BQ79" s="169" t="s">
        <v>439</v>
      </c>
      <c r="BR79" s="169">
        <v>6</v>
      </c>
      <c r="BS79" s="169">
        <v>8</v>
      </c>
      <c r="BT79" s="169">
        <v>10.4</v>
      </c>
      <c r="BU79" s="169">
        <v>17.2</v>
      </c>
    </row>
    <row r="80" spans="2:73" ht="39.9" customHeight="1">
      <c r="C80" s="316" t="s">
        <v>219</v>
      </c>
      <c r="D80" s="316"/>
      <c r="E80" s="316"/>
      <c r="F80" s="316"/>
      <c r="G80" s="316"/>
      <c r="H80" s="316"/>
      <c r="I80" s="316"/>
      <c r="J80" s="316"/>
      <c r="K80" s="316"/>
      <c r="L80" s="316"/>
      <c r="M80" s="316"/>
      <c r="O80" s="509" t="s">
        <v>460</v>
      </c>
      <c r="P80" s="510" t="s">
        <v>24</v>
      </c>
      <c r="Q80" s="511"/>
      <c r="S80" s="317" t="str">
        <f>CONCATENATE("Sie haben noch eine Statistische Lebenserwartung (idR.",S26,") von ",S26-U78," Jahren! Zitat: https://www.destatis.de/DE/Themen/Gesellschaft-Umwelt/Bevoelkerung/Sterbefaelle-Lebenserwartung/_inhalt.html")</f>
        <v>Sie haben noch eine Statistische Lebenserwartung (idR.79) von 38 Jahren! Zitat: https://www.destatis.de/DE/Themen/Gesellschaft-Umwelt/Bevoelkerung/Sterbefaelle-Lebenserwartung/_inhalt.html</v>
      </c>
      <c r="T80" s="315"/>
      <c r="U80" s="315"/>
      <c r="V80" s="315"/>
      <c r="W80" s="315"/>
      <c r="X80" s="74"/>
      <c r="AA80" s="79"/>
      <c r="AB80" s="194">
        <v>2025</v>
      </c>
      <c r="AC80" s="195" t="s">
        <v>17</v>
      </c>
      <c r="AM80" s="318" t="s">
        <v>356</v>
      </c>
      <c r="AN80" s="319"/>
      <c r="AO80" s="319"/>
      <c r="AP80" s="77">
        <v>2</v>
      </c>
      <c r="AR80" s="503" t="s">
        <v>437</v>
      </c>
      <c r="AS80" s="504">
        <v>60</v>
      </c>
      <c r="AT80" s="505" t="s">
        <v>436</v>
      </c>
      <c r="AU80" s="512">
        <f>AS80/1000</f>
        <v>0.06</v>
      </c>
      <c r="AV80" s="512" t="s">
        <v>435</v>
      </c>
      <c r="BQ80" s="169" t="s">
        <v>440</v>
      </c>
      <c r="BR80" s="169">
        <v>3.2</v>
      </c>
      <c r="BS80" s="169">
        <v>3.2</v>
      </c>
      <c r="BT80" s="169">
        <v>3.2</v>
      </c>
      <c r="BU80" s="169">
        <v>3.2</v>
      </c>
    </row>
    <row r="81" spans="2:73" ht="39.9" customHeight="1">
      <c r="C81" s="182" t="s">
        <v>41</v>
      </c>
      <c r="D81" s="183"/>
      <c r="E81" s="183"/>
      <c r="F81" s="183"/>
      <c r="G81" s="183"/>
      <c r="H81" s="183"/>
      <c r="I81" s="183"/>
      <c r="J81" s="183"/>
      <c r="K81" s="183"/>
      <c r="L81" s="183"/>
      <c r="M81" s="184"/>
      <c r="N81" s="1"/>
      <c r="O81" s="506" t="s">
        <v>461</v>
      </c>
      <c r="P81" s="507" t="s">
        <v>24</v>
      </c>
      <c r="Q81" s="508"/>
      <c r="R81" s="4"/>
      <c r="S81" s="79" t="str">
        <f>CONCATENATE("Also nur noch ",IF(U78&gt;1,(S26-U78)*365,X79*365)," Tage, oder ",IF(U78&gt;1,(S26-U78)*365*24,X79*365*24), " Stunden! Was wollen Sie noch machen?")</f>
        <v>Also nur noch 13870 Tage, oder 332880 Stunden! Was wollen Sie noch machen?</v>
      </c>
      <c r="T81"/>
      <c r="U81"/>
      <c r="AA81" s="79"/>
      <c r="AB81" s="196" t="s">
        <v>18</v>
      </c>
      <c r="AC81" s="660" t="s">
        <v>205</v>
      </c>
      <c r="AE81" s="18">
        <f>0.532*AP82</f>
        <v>15960</v>
      </c>
      <c r="AJ81" s="39" t="s">
        <v>203</v>
      </c>
      <c r="AK81" s="40"/>
      <c r="AM81" s="318" t="s">
        <v>355</v>
      </c>
      <c r="AN81" s="319"/>
      <c r="AO81" s="319"/>
      <c r="AP81" s="20">
        <f>AP82*0.18</f>
        <v>5400</v>
      </c>
      <c r="AR81" s="1" t="str">
        <f>CONCATENATE(ROUND(AP81/AP82,3)," € je kWh")</f>
        <v>0,18 € je kWh</v>
      </c>
      <c r="BA81" s="1" t="s">
        <v>178</v>
      </c>
      <c r="BQ81" s="169" t="s">
        <v>441</v>
      </c>
      <c r="BR81" s="169">
        <v>3.6</v>
      </c>
      <c r="BS81" s="169">
        <v>3.6</v>
      </c>
      <c r="BT81" s="169">
        <v>3.6</v>
      </c>
      <c r="BU81" s="169">
        <v>3.6</v>
      </c>
    </row>
    <row r="82" spans="2:73" ht="39.9" customHeight="1" thickBot="1">
      <c r="C82" s="79"/>
      <c r="D82" s="1" t="s">
        <v>10</v>
      </c>
      <c r="F82" s="6"/>
      <c r="G82" s="1" t="s">
        <v>28</v>
      </c>
      <c r="M82" s="181"/>
      <c r="N82" s="74"/>
      <c r="O82" s="509" t="s">
        <v>462</v>
      </c>
      <c r="P82" s="510" t="s">
        <v>24</v>
      </c>
      <c r="Q82" s="511"/>
      <c r="R82" s="4"/>
      <c r="S82" s="320" t="str">
        <f>IF(U78&gt;X79,CONCATENATE(" Bei Gas haben und sie pro Jahr ca. ",ROUND(E8*[4]Verschlechterungsverbot!Q193/1000,1)," t CO2 (",ROUND((E8*[4]Verschlechterungsverbot!Q193/1000)*AC83,0),"€) und über die nächsten ",S26-U78," Jahre sind das ",ROUND(((S26-U78)*E8*[4]Verschlechterungsverbot!Q193)/1000,0)," t CO2 also wahrscheinlich mindestens ",ROUND((((S26-U78)*E8*[4]Verschlechterungsverbot!Q193)/1000)*AC83,0),"  € NUR CO2 Abgabe"),CONCATENATE(" Bei Gas haben und sie pro Jahr ca. ",ROUND(E8*[4]Verschlechterungsverbot!Q193/1000,1)," t CO2 (",ROUND((E8*[4]Verschlechterungsverbot!Q193/1000)*AC83,0),"€) und über die nächsten ",X79," Jahre sind das ",ROUND(((X79)*E8*[4]Verschlechterungsverbot!Q193)/1000,0)," t CO2 also wahrscheinlich mindestens ",ROUND((((X79)*E8*[4]Verschlechterungsverbot!Q193)/1000)*AC83,0),"  € NUR CO2 Abgabe"))</f>
        <v xml:space="preserve"> Bei Gas haben und sie pro Jahr ca. 6,1 t CO2 (1212€) und über die nächsten 38 Jahre sind das 230 t CO2 also wahrscheinlich mindestens 46056  € NUR CO2 Abgabe</v>
      </c>
      <c r="T82" s="316"/>
      <c r="U82" s="316"/>
      <c r="V82" s="316"/>
      <c r="W82" s="316" t="str">
        <f>IF(U78&gt;X79,CONCATENATE(" Bei ÖL haben und sie pro Jahr ca. ",ROUND(E8*[4]Verschlechterungsverbot!Q190/1000,1)," t CO2 (",ROUND((E8*[4]Verschlechterungsverbot!Q190/1000)*AC83,0),"€) und über die nächsten ",S26-U78," Jahre sind das ",ROUND(((S26-U78)*E8*[4]Verschlechterungsverbot!Q190)/1000,0)," t CO2 also wahrscheinlich mindestens ",ROUND((((S26-U78)*E8*[4]Verschlechterungsverbot!Q190)/1000)*AC83,0)," € NUR CO2 Abgabe"),CONCATENATE(" Bei ÖL haben und sie pro Jahr ca. ",ROUND(E8*[4]Verschlechterungsverbot!Q190/1000,1)," t CO2 (",ROUND((E8*[4]Verschlechterungsverbot!Q190/1000)*AC83,0),"€) und über die nächsten ",X79," Jahre sind das ",ROUND(((X79)*E8*[4]Verschlechterungsverbot!Q190)/1000,0)," t CO2 also wahrscheinlich mindestens ",ROUND((((X79)*E8*[4]Verschlechterungsverbot!Q190)/1000)*AC83,0)," € NUR CO2 Abgabe"))</f>
        <v xml:space="preserve"> Bei ÖL haben und sie pro Jahr ca. 8 t CO2 (1596€) und über die nächsten 38 Jahre sind das 303 t CO2 also wahrscheinlich mindestens 60648 € NUR CO2 Abgabe</v>
      </c>
      <c r="X82" s="316"/>
      <c r="Y82" s="316"/>
      <c r="Z82" s="295"/>
      <c r="AA82" s="662" t="s">
        <v>634</v>
      </c>
      <c r="AC82" s="14" t="s">
        <v>206</v>
      </c>
      <c r="AJ82" s="45" t="s">
        <v>231</v>
      </c>
      <c r="AK82" s="41">
        <v>3000</v>
      </c>
      <c r="AL82" s="172">
        <f>AP82/10</f>
        <v>3000</v>
      </c>
      <c r="AM82" s="318" t="s">
        <v>354</v>
      </c>
      <c r="AN82" s="319"/>
      <c r="AO82" s="319"/>
      <c r="AP82" s="77">
        <v>30000</v>
      </c>
      <c r="AQ82" s="18"/>
      <c r="AR82" s="1" t="s">
        <v>149</v>
      </c>
      <c r="BA82" s="21" t="s">
        <v>177</v>
      </c>
      <c r="BQ82" s="169" t="s">
        <v>442</v>
      </c>
      <c r="BR82" s="169">
        <v>2</v>
      </c>
      <c r="BS82" s="169">
        <v>2</v>
      </c>
      <c r="BT82" s="169">
        <v>2</v>
      </c>
      <c r="BU82" s="169">
        <v>2</v>
      </c>
    </row>
    <row r="83" spans="2:73" ht="39.9" customHeight="1" thickBot="1">
      <c r="C83" s="513" t="s">
        <v>38</v>
      </c>
      <c r="D83" s="1" t="s">
        <v>29</v>
      </c>
      <c r="F83" s="9"/>
      <c r="G83" s="1" t="s">
        <v>42</v>
      </c>
      <c r="M83" s="181"/>
      <c r="N83" s="74"/>
      <c r="O83" s="506" t="s">
        <v>463</v>
      </c>
      <c r="P83" s="514" t="s">
        <v>25</v>
      </c>
      <c r="Q83" s="514"/>
      <c r="S83" s="1">
        <f>60*6.5</f>
        <v>390</v>
      </c>
      <c r="V83" s="299"/>
      <c r="W83" s="299"/>
      <c r="X83" s="299"/>
      <c r="Y83" s="299"/>
      <c r="Z83" s="174"/>
      <c r="AA83" s="661">
        <v>20</v>
      </c>
      <c r="AB83" s="185"/>
      <c r="AC83" s="515">
        <v>200</v>
      </c>
      <c r="AJ83" s="66" t="s">
        <v>232</v>
      </c>
      <c r="AK83" s="42">
        <f>AK82*10</f>
        <v>30000</v>
      </c>
      <c r="AM83" s="318" t="s">
        <v>204</v>
      </c>
      <c r="AN83" s="319"/>
      <c r="AO83" s="319"/>
      <c r="AP83" s="13">
        <v>160</v>
      </c>
      <c r="AQ83" s="18"/>
      <c r="AR83" s="18" t="str">
        <f>CONCATENATE(AM82," / ",AM83," = ",ROUND(AP82/AP83,0)," kWh je m²")</f>
        <v>Verbrauch [kWh]
(laut Rechnung oder Berechnung) / Wohnfläche [m²]
(nach zB. Unterlagen zum Bauantrag) = 188 kWh je m²</v>
      </c>
      <c r="AV83" s="21"/>
      <c r="BQ83" s="1">
        <f>ROUND(((AK84*24)/(24-AS78))+(0.3*AP80),0)</f>
        <v>29</v>
      </c>
      <c r="BR83" s="1" t="str">
        <f>CONCATENATE($BQ$80," ",BR80,"m, ",$BQ$81," ",BR81,"m ",$BQ$82," ",BR82,"m ")</f>
        <v xml:space="preserve">Druchmesser 3,2m, Höhe 3,6m Abstand 2m </v>
      </c>
      <c r="BS83" s="1" t="str">
        <f>CONCATENATE($BQ$80," ",BS80,"m, ",$BQ$81," ",BS81,"m ",$BQ$82," ",BS82,"m ")</f>
        <v xml:space="preserve">Druchmesser 3,2m, Höhe 3,6m Abstand 2m </v>
      </c>
      <c r="BT83" s="1" t="str">
        <f>CONCATENATE($BQ$80," ",BT80,"m, ",$BQ$81," ",BT81,"m ",$BQ$82," ",BT82,"m ")</f>
        <v xml:space="preserve">Druchmesser 3,2m, Höhe 3,6m Abstand 2m </v>
      </c>
      <c r="BU83" s="1" t="str">
        <f>CONCATENATE($BQ$80," ",BU80,"m, ",$BQ$81," ",BU81,"m ",$BQ$82," ",BU82,"m ")</f>
        <v xml:space="preserve">Druchmesser 3,2m, Höhe 3,6m Abstand 2m </v>
      </c>
    </row>
    <row r="84" spans="2:73" ht="40.5" customHeight="1">
      <c r="C84" s="186"/>
      <c r="D84" s="187" t="s">
        <v>53</v>
      </c>
      <c r="E84" s="188" t="s">
        <v>54</v>
      </c>
      <c r="F84" s="188"/>
      <c r="G84" s="188"/>
      <c r="H84" s="188"/>
      <c r="I84" s="188"/>
      <c r="J84" s="188"/>
      <c r="K84" s="188"/>
      <c r="L84" s="188"/>
      <c r="M84" s="189"/>
      <c r="N84" s="74"/>
      <c r="V84" s="657" t="s">
        <v>633</v>
      </c>
      <c r="W84" s="658"/>
      <c r="X84" s="658"/>
      <c r="Y84" s="658"/>
      <c r="Z84" s="658"/>
      <c r="AA84" s="658"/>
      <c r="AB84" s="658"/>
      <c r="AC84" s="659"/>
      <c r="AJ84" s="168" t="s">
        <v>438</v>
      </c>
      <c r="AK84" s="77">
        <v>26</v>
      </c>
      <c r="AM84" s="321" t="s">
        <v>230</v>
      </c>
      <c r="AN84" s="322"/>
      <c r="AO84" s="322"/>
      <c r="AP84" s="69" t="str">
        <f>CONCATENATE(AP81,"€ *",AS84,"%=",ROUND(AP81*((AS84/100)+1),0)," € a  / ",ROUND(AP81*((AS84/100)+1)/12,0)," € im Monat anstelle von ",ROUND(AP81/12,0),"€")</f>
        <v>5400€ *25%=6750 € a  / 563 € im Monat anstelle von 450€</v>
      </c>
      <c r="AR84" s="44">
        <f>AP82/AP83</f>
        <v>187.5</v>
      </c>
      <c r="AS84" s="1">
        <v>25</v>
      </c>
      <c r="AV84" s="316" t="s">
        <v>221</v>
      </c>
      <c r="AW84" s="316"/>
      <c r="AX84" s="316"/>
      <c r="AY84" s="316"/>
      <c r="BQ84" s="1" t="str">
        <f>IF(BQ83&lt;BR79,BR84,IF(AND(BQ83&gt;BR79,BQ83&lt;BS79),BS84,IF(AND(BQ83&gt;BS79,BQ83&lt;BT79),BT84,IF(AND(BQ83&gt;BT79,BQ83&lt;BU79),BU84,"Eine Fachplanung ist erforderlich"))))</f>
        <v>Eine Fachplanung ist erforderlich</v>
      </c>
      <c r="BR84" s="1" t="str">
        <f>CONCATENATE(BR79," kW ",BR83)</f>
        <v xml:space="preserve">6 kW Druchmesser 3,2m, Höhe 3,6m Abstand 2m </v>
      </c>
      <c r="BS84" s="1" t="str">
        <f>CONCATENATE(BS79," kW ",BS83)</f>
        <v xml:space="preserve">8 kW Druchmesser 3,2m, Höhe 3,6m Abstand 2m </v>
      </c>
      <c r="BT84" s="1" t="str">
        <f>CONCATENATE(BT79," kW ",BT78," ",BT83)</f>
        <v xml:space="preserve">10,4 kW (zwei Speicher) Druchmesser 3,2m, Höhe 3,6m Abstand 2m </v>
      </c>
      <c r="BU84" s="1" t="str">
        <f>CONCATENATE(BU79," kW ",BU78," ",BU83)</f>
        <v xml:space="preserve">17,2 kW (zwei Speicher) Druchmesser 3,2m, Höhe 3,6m Abstand 2m </v>
      </c>
    </row>
    <row r="85" spans="2:73" ht="86.25" customHeight="1">
      <c r="C85" s="516"/>
      <c r="D85" s="517" t="s">
        <v>132</v>
      </c>
      <c r="E85" s="518" t="s">
        <v>0</v>
      </c>
      <c r="F85" s="518"/>
      <c r="G85" s="519" t="s">
        <v>1</v>
      </c>
      <c r="H85" s="519"/>
      <c r="I85" s="520"/>
      <c r="J85" s="521" t="s">
        <v>43</v>
      </c>
      <c r="K85" s="522" t="s">
        <v>23</v>
      </c>
      <c r="L85" s="521" t="s">
        <v>622</v>
      </c>
      <c r="M85" s="521" t="s">
        <v>2</v>
      </c>
      <c r="N85" s="1"/>
      <c r="O85" s="523" t="s">
        <v>447</v>
      </c>
      <c r="P85" s="523" t="s">
        <v>13</v>
      </c>
      <c r="Q85" s="190"/>
      <c r="R85" s="517" t="s">
        <v>132</v>
      </c>
      <c r="S85" s="524"/>
      <c r="T85" s="524"/>
      <c r="U85" s="524" t="s">
        <v>134</v>
      </c>
      <c r="V85" s="525" t="s">
        <v>464</v>
      </c>
      <c r="W85" s="663" t="s">
        <v>465</v>
      </c>
      <c r="X85" s="663" t="s">
        <v>466</v>
      </c>
      <c r="Y85" s="525" t="s">
        <v>467</v>
      </c>
      <c r="Z85" s="525" t="s">
        <v>626</v>
      </c>
      <c r="AA85" s="525" t="s">
        <v>627</v>
      </c>
      <c r="AB85" s="525" t="s">
        <v>468</v>
      </c>
      <c r="AC85" s="526" t="s">
        <v>19</v>
      </c>
      <c r="AD85" s="527" t="s">
        <v>14</v>
      </c>
      <c r="AE85" s="528" t="s">
        <v>357</v>
      </c>
      <c r="AF85" s="529" t="s">
        <v>36</v>
      </c>
      <c r="AG85" s="174"/>
      <c r="AH85" s="529" t="s">
        <v>469</v>
      </c>
      <c r="AI85" s="529" t="s">
        <v>470</v>
      </c>
      <c r="AJ85" s="524" t="s">
        <v>55</v>
      </c>
      <c r="AK85" s="530" t="s">
        <v>218</v>
      </c>
      <c r="AM85" s="531" t="s">
        <v>39</v>
      </c>
      <c r="AN85" s="531"/>
      <c r="AO85" s="531"/>
      <c r="AP85" s="530" t="s">
        <v>40</v>
      </c>
      <c r="AV85" s="297" t="s">
        <v>150</v>
      </c>
      <c r="AW85" s="297" t="s">
        <v>151</v>
      </c>
      <c r="AX85" s="297" t="s">
        <v>152</v>
      </c>
      <c r="AY85" s="297" t="s">
        <v>153</v>
      </c>
    </row>
    <row r="86" spans="2:73" ht="71.25" customHeight="1">
      <c r="C86" s="532" t="s">
        <v>62</v>
      </c>
      <c r="D86" s="533">
        <v>1</v>
      </c>
      <c r="E86" s="534" t="s">
        <v>181</v>
      </c>
      <c r="F86" s="534"/>
      <c r="G86" s="535">
        <v>8000</v>
      </c>
      <c r="H86" s="536" t="s">
        <v>3</v>
      </c>
      <c r="I86" s="537">
        <v>14000</v>
      </c>
      <c r="J86" s="538"/>
      <c r="K86" s="536"/>
      <c r="L86" s="539"/>
      <c r="M86" s="539"/>
      <c r="N86" s="1"/>
      <c r="O86" s="539">
        <v>1.1000000000000001</v>
      </c>
      <c r="P86" s="43">
        <f t="shared" ref="P86:P92" si="0">ROUND($AP$82/O86,0)</f>
        <v>27273</v>
      </c>
      <c r="Q86" s="16" t="s">
        <v>31</v>
      </c>
      <c r="R86" s="533">
        <v>1</v>
      </c>
      <c r="S86" s="540" t="s">
        <v>34</v>
      </c>
      <c r="T86" s="541"/>
      <c r="U86" s="542" t="s">
        <v>144</v>
      </c>
      <c r="V86" s="543" t="str">
        <f>CONCATENATE("374","g CO² pro kWh ",ROUND(((374.309646781507/1000)*AP82)/1000,3)," t CO²")</f>
        <v>374g CO² pro kWh 11,229 t CO²</v>
      </c>
      <c r="W86" s="544" t="str">
        <f>CONCATENATE("310 Fossil ", ROUND(((310/1000)*P86)/1000,3)," t CO²;
210 Bio ", ROUND(((210/1000)*P86)/1000,3)," t CO²;
105 Bio erzeugt ", ROUND(((105/1000)*P86)/1000,3)," t CO²")</f>
        <v>310 Fossil 8,455 t CO²;
210 Bio 5,727 t CO²;
105 Bio erzeugt 2,864 t CO²</v>
      </c>
      <c r="X86" s="543" t="str">
        <f>CONCATENATE("0,002676284 gCO² je l Heizöl zu Heizzwecken(Heizöl S) ",ROUND(((0.002676284)*P86)/10,3)," t CO²")</f>
        <v>0,002676284 gCO² je l Heizöl zu Heizzwecken(Heizöl S) 7,299 t CO²</v>
      </c>
      <c r="Y86" s="543" t="str">
        <f>CONCATENATE("266 gCO²je kWh Heizöl leicht ",ROUND(((266/1000)*P86)/1000,3)," t CO²")</f>
        <v>266 gCO²je kWh Heizöl leicht 7,255 t CO²</v>
      </c>
      <c r="Z86" s="545" t="str">
        <f>CONCATENATE("299 gCO²je kWh Heizöl leicht ",ROUND(((299/1000)*P86)/1000,3)," t CO²")</f>
        <v>299 gCO²je kWh Heizöl leicht 8,155 t CO²</v>
      </c>
      <c r="AA86" s="546">
        <f>($AA$83*$AP$83)/1000</f>
        <v>3.2</v>
      </c>
      <c r="AB86" s="547">
        <v>311</v>
      </c>
      <c r="AC86" s="548" t="str">
        <f>CONCATENATE(ROUND((AB86/1000*P86)/1000,2)," t | ",ROUND((((AB86/10000*P86)/100)*$AC$83),0)," € ")</f>
        <v xml:space="preserve">8,48 t | 1696 € </v>
      </c>
      <c r="AD86" s="549">
        <v>0.08</v>
      </c>
      <c r="AE86" s="10" t="str">
        <f t="shared" ref="AE86:AE100" si="1">CONCATENATE(ROUND(RIGHT(AD86,4)*P86,0)," €| 
Energiekosten &amp; CO² = ",ROUND((((AB86/1000*P86)/1000)*$AC$83)+RIGHT(AD86,4)*P86,0)," €")</f>
        <v>2182 €| 
Energiekosten &amp; CO² = 3878 €</v>
      </c>
      <c r="AF86" s="11" t="str">
        <f t="shared" ref="AF86:AF95" si="2">IF($AP$81&gt;ROUND((((AB86*P86)/1000)*$AC$83)+RIGHT(AD86,4)*P86,0),"vielleicht Günstiger","vielleicht Teurer")</f>
        <v>vielleicht Teurer</v>
      </c>
      <c r="AG86" s="12">
        <f t="shared" ref="AG86:AG100" si="3">IF(AF86=$D$84,1,0)</f>
        <v>0</v>
      </c>
      <c r="AH86" s="539">
        <v>20</v>
      </c>
      <c r="AI86" s="550" t="str">
        <f t="shared" ref="AI86:AI107" si="4">CONCATENATE(ROUND(I86/AH86,0),"€ im Jahr")</f>
        <v>700€ im Jahr</v>
      </c>
      <c r="AJ86" s="539" t="s">
        <v>56</v>
      </c>
      <c r="AK86" s="551" t="str">
        <f t="shared" ref="AK86:AK95" si="5">CONCATENATE(100," €|",200," €|",ROUND(I86/15,0),"€ ")</f>
        <v xml:space="preserve">100 €|200 €|933€ </v>
      </c>
      <c r="AM86" s="5">
        <v>0.03</v>
      </c>
      <c r="AN86" s="552" t="s">
        <v>3</v>
      </c>
      <c r="AO86" s="2">
        <v>0.1</v>
      </c>
      <c r="AP86" s="14" t="str">
        <f>CONCATENATE("(",$AP$82*AM86*LEFT($AD86,5)," €| ",,$AP$82*AO86*LEFT($AD86,5)," €) || ",$AP$81-($AP$82*AM86*LEFT($AD86,5))," €/a | ",$AP$81-($AP$82*AO86*LEFT($AD86,5))," €/a")</f>
        <v>(72 €| 240 €) || 5328 €/a | 5160 €/a</v>
      </c>
      <c r="AR86" s="315" t="str">
        <f>CONCATENATE("Eine sinnvollere Bewertung (anstelle des Energieausweises nach fiktiver Wohnfläche und Referenzstandort Potsdam) wäre nach Personenbelegung (übliche Nutzung), hier ",AP80," Personen durch Verbrauch ",AP82,"kWh, sind ",AP82/AP80," kWh pro Person. Am besten wäre noch mit CO² bewerten und der tatsächlichen beheizten Wohnfläche / Nutzfläche… Fertig")</f>
        <v>Eine sinnvollere Bewertung (anstelle des Energieausweises nach fiktiver Wohnfläche und Referenzstandort Potsdam) wäre nach Personenbelegung (übliche Nutzung), hier 2 Personen durch Verbrauch 30000kWh, sind 15000 kWh pro Person. Am besten wäre noch mit CO² bewerten und der tatsächlichen beheizten Wohnfläche / Nutzfläche… Fertig</v>
      </c>
      <c r="AS86" s="315"/>
      <c r="AT86" s="315"/>
      <c r="AV86" s="297" t="s">
        <v>154</v>
      </c>
      <c r="AW86" s="297" t="s">
        <v>155</v>
      </c>
      <c r="AX86" s="297" t="s">
        <v>156</v>
      </c>
      <c r="AY86" s="297" t="s">
        <v>157</v>
      </c>
    </row>
    <row r="87" spans="2:73" ht="69.400000000000006" customHeight="1">
      <c r="C87" s="553" t="s">
        <v>4</v>
      </c>
      <c r="D87" s="533">
        <v>2.1</v>
      </c>
      <c r="E87" s="534" t="s">
        <v>183</v>
      </c>
      <c r="F87" s="534"/>
      <c r="G87" s="535">
        <v>8000</v>
      </c>
      <c r="H87" s="536" t="s">
        <v>3</v>
      </c>
      <c r="I87" s="537">
        <v>14000</v>
      </c>
      <c r="K87" s="538"/>
      <c r="L87" s="539"/>
      <c r="M87" s="539"/>
      <c r="N87" s="1"/>
      <c r="O87" s="539">
        <v>1.1000000000000001</v>
      </c>
      <c r="P87" s="43">
        <f t="shared" si="0"/>
        <v>27273</v>
      </c>
      <c r="Q87" s="16" t="s">
        <v>31</v>
      </c>
      <c r="R87" s="554">
        <v>2.1</v>
      </c>
      <c r="S87" s="555" t="s">
        <v>35</v>
      </c>
      <c r="T87" s="556"/>
      <c r="U87" s="542" t="s">
        <v>145</v>
      </c>
      <c r="V87" s="543" t="str">
        <f>CONCATENATE("289","g CO² pro kWh ",ROUND(((289.48913611004/1000)*AP82)/1000,3)," t CO²")</f>
        <v>289g CO² pro kWh 8,685 t CO²</v>
      </c>
      <c r="W87" s="557" t="str">
        <f t="shared" ref="W87:W92" si="6">CONCATENATE("240  Erdgas ", ROUND(((240/1000)*P87)/1000,3)," t CO²;
270 Flüssig ", ROUND(((270/1000)*P87)/1000,3)," t CO²;
140 Bio ", ROUND(((140/1000)*P87)/1000,3)," t CO²;
75 Bio erzeugt ", ROUND(((75/1000)*P87)/1000,3)," t CO²;
180 Biogenes Flüssiggas ", ROUND(((180/1000)*P87)/1000,3)," t CO²")</f>
        <v>240  Erdgas 6,546 t CO²;
270 Flüssig 7,364 t CO²;
140 Bio 3,818 t CO²;
75 Bio erzeugt 2,045 t CO²;
180 Biogenes Flüssiggas 4,909 t CO²</v>
      </c>
      <c r="X87" s="543" t="str">
        <f>CONCATENATE("182 Erdgas, verflüssigt ",ROUND(((182.0448/1000)*P87)/1000,3)," t CO²")</f>
        <v>182 Erdgas, verflüssigt 4,965 t CO²</v>
      </c>
      <c r="Y87" s="543" t="str">
        <f>CONCATENATE("266 Erdgas ",ROUND(((266/1000)*P87)/1000,3)," t CO²")</f>
        <v>266 Erdgas 7,255 t CO²</v>
      </c>
      <c r="Z87" s="545" t="str">
        <f>CONCATENATE("235 gCO²je kWh Heizöl leicht ",ROUND(((235/1000)*P86)/1000,3)," t CO²")</f>
        <v>235 gCO²je kWh Heizöl leicht 6,409 t CO²</v>
      </c>
      <c r="AA87" s="546">
        <f t="shared" ref="AA87:AA108" si="7">($AA$83*$AP$83)/1000</f>
        <v>3.2</v>
      </c>
      <c r="AB87" s="558">
        <v>240</v>
      </c>
      <c r="AC87" s="548" t="str">
        <f t="shared" ref="AC87:AC100" si="8">CONCATENATE(ROUND((AB87/1000*P87)/1000,2)," t | ",ROUND((((AB87/10000*P87)/100)*$AC$83),0)," € ")</f>
        <v xml:space="preserve">6,55 t | 1309 € </v>
      </c>
      <c r="AD87" s="549">
        <v>0.11</v>
      </c>
      <c r="AE87" s="10" t="str">
        <f t="shared" si="1"/>
        <v>3000 €| 
Energiekosten &amp; CO² = 4309 €</v>
      </c>
      <c r="AF87" s="11" t="str">
        <f t="shared" si="2"/>
        <v>vielleicht Teurer</v>
      </c>
      <c r="AG87" s="12">
        <f t="shared" si="3"/>
        <v>0</v>
      </c>
      <c r="AH87" s="539">
        <f>$AH$86</f>
        <v>20</v>
      </c>
      <c r="AI87" s="550" t="str">
        <f t="shared" si="4"/>
        <v>700€ im Jahr</v>
      </c>
      <c r="AJ87" s="539" t="s">
        <v>57</v>
      </c>
      <c r="AK87" s="551" t="str">
        <f t="shared" si="5"/>
        <v xml:space="preserve">100 €|200 €|933€ </v>
      </c>
      <c r="AM87" s="5">
        <v>0.03</v>
      </c>
      <c r="AN87" s="536" t="s">
        <v>3</v>
      </c>
      <c r="AO87" s="3">
        <v>0.1</v>
      </c>
      <c r="AP87" s="14" t="str">
        <f t="shared" ref="AP87:AP95" si="9">CONCATENATE("(",$AP$82*AM87*LEFT($AD87,5)," €| ",,$AP$82*AO87*LEFT($AD87,5)," €) || ",$AP$81-($AP$82*AM87*LEFT($AD87,5))," €/a | ",$AP$81-($AP$82*AO87*LEFT($AD87,5))," €/a")</f>
        <v>(99 €| 330 €) || 5301 €/a | 5070 €/a</v>
      </c>
      <c r="AR87" s="315"/>
      <c r="AS87" s="315"/>
      <c r="AT87" s="315"/>
      <c r="AV87" s="297" t="s">
        <v>158</v>
      </c>
      <c r="AW87" s="297" t="s">
        <v>159</v>
      </c>
      <c r="AX87" s="297" t="s">
        <v>160</v>
      </c>
      <c r="AY87" s="297" t="s">
        <v>161</v>
      </c>
    </row>
    <row r="88" spans="2:73" ht="41.5" customHeight="1">
      <c r="C88" s="559"/>
      <c r="D88" s="533" t="s">
        <v>129</v>
      </c>
      <c r="E88" s="534" t="s">
        <v>63</v>
      </c>
      <c r="F88" s="534"/>
      <c r="G88" s="535">
        <v>8000</v>
      </c>
      <c r="H88" s="536" t="s">
        <v>3</v>
      </c>
      <c r="I88" s="537">
        <v>14000</v>
      </c>
      <c r="J88" s="538"/>
      <c r="K88" s="536"/>
      <c r="L88" s="539"/>
      <c r="M88" s="539"/>
      <c r="N88" s="1"/>
      <c r="O88" s="539">
        <v>1.1000000000000001</v>
      </c>
      <c r="P88" s="43">
        <f t="shared" si="0"/>
        <v>27273</v>
      </c>
      <c r="Q88" s="16" t="s">
        <v>31</v>
      </c>
      <c r="R88" s="554" t="s">
        <v>129</v>
      </c>
      <c r="S88" s="560"/>
      <c r="T88" s="556"/>
      <c r="U88" s="542" t="s">
        <v>145</v>
      </c>
      <c r="V88" s="543" t="str">
        <f>CONCATENATE("289","g CO² pro kWh ",ROUND(((289.48913611004/1000)*AP82)/1000,3)," t CO²")</f>
        <v>289g CO² pro kWh 8,685 t CO²</v>
      </c>
      <c r="W88" s="557" t="str">
        <f t="shared" si="6"/>
        <v>240  Erdgas 6,546 t CO²;
270 Flüssig 7,364 t CO²;
140 Bio 3,818 t CO²;
75 Bio erzeugt 2,045 t CO²;
180 Biogenes Flüssiggas 4,909 t CO²</v>
      </c>
      <c r="X88" s="543" t="str">
        <f>CONCATENATE("182 Erdgas, verflüssigt ",ROUND(((182.0448/1000)*AP82)/1000,3)," t CO²")</f>
        <v>182 Erdgas, verflüssigt 5,461 t CO²</v>
      </c>
      <c r="Y88" s="543" t="str">
        <f>CONCATENATE("266 Erdgas ",ROUND(((266/1000)*AP82)/1000,3)," t CO²")</f>
        <v>266 Erdgas 7,98 t CO²</v>
      </c>
      <c r="Z88" s="545" t="str">
        <f t="shared" ref="Z88:Z92" si="10">CONCATENATE("235 gCO²je kWh Heizöl leicht ",ROUND(((235/1000)*P87)/1000,3)," t CO²")</f>
        <v>235 gCO²je kWh Heizöl leicht 6,409 t CO²</v>
      </c>
      <c r="AA88" s="546">
        <f t="shared" si="7"/>
        <v>3.2</v>
      </c>
      <c r="AB88" s="558">
        <v>182</v>
      </c>
      <c r="AC88" s="548" t="str">
        <f t="shared" si="8"/>
        <v xml:space="preserve">4,96 t | 993 € </v>
      </c>
      <c r="AD88" s="549">
        <v>7.0000000000000007E-2</v>
      </c>
      <c r="AE88" s="10" t="str">
        <f t="shared" si="1"/>
        <v>1909 €| 
Energiekosten &amp; CO² = 2902 €</v>
      </c>
      <c r="AF88" s="11" t="str">
        <f t="shared" si="2"/>
        <v>vielleicht Teurer</v>
      </c>
      <c r="AG88" s="12">
        <f t="shared" si="3"/>
        <v>0</v>
      </c>
      <c r="AH88" s="539">
        <f t="shared" ref="AH88:AH107" si="11">$AH$86</f>
        <v>20</v>
      </c>
      <c r="AI88" s="550" t="str">
        <f t="shared" si="4"/>
        <v>700€ im Jahr</v>
      </c>
      <c r="AJ88" s="539" t="s">
        <v>57</v>
      </c>
      <c r="AK88" s="551" t="str">
        <f t="shared" si="5"/>
        <v xml:space="preserve">100 €|200 €|933€ </v>
      </c>
      <c r="AM88" s="5">
        <v>0.03</v>
      </c>
      <c r="AN88" s="536" t="s">
        <v>3</v>
      </c>
      <c r="AO88" s="3">
        <v>0.1</v>
      </c>
      <c r="AP88" s="14" t="str">
        <f t="shared" si="9"/>
        <v>(63 €| 210 €) || 5337 €/a | 5190 €/a</v>
      </c>
      <c r="AV88" s="297" t="s">
        <v>27</v>
      </c>
      <c r="AW88" s="297" t="s">
        <v>162</v>
      </c>
      <c r="AX88" s="297" t="s">
        <v>163</v>
      </c>
      <c r="AY88" s="297" t="s">
        <v>164</v>
      </c>
    </row>
    <row r="89" spans="2:73" ht="65.25" customHeight="1">
      <c r="B89" s="325" t="s">
        <v>448</v>
      </c>
      <c r="C89" s="559"/>
      <c r="D89" s="533" t="s">
        <v>130</v>
      </c>
      <c r="E89" s="534" t="s">
        <v>238</v>
      </c>
      <c r="F89" s="534"/>
      <c r="G89" s="535">
        <v>18000</v>
      </c>
      <c r="H89" s="536" t="s">
        <v>3</v>
      </c>
      <c r="I89" s="537">
        <v>26000</v>
      </c>
      <c r="J89" s="561" t="s">
        <v>374</v>
      </c>
      <c r="K89" s="562" t="str">
        <f>CONCATENATE("20% | 
Invest
",I89,"-",I89*0.2,"= 
Rest ",I89*0.8)</f>
        <v>20% | 
Invest
26000-5200= 
Rest 20800</v>
      </c>
      <c r="L89" s="562" t="str">
        <f>CONCATENATE("30% | 
Invest
",I89,"-",I89*0.3,"= 
Rest ",I89*0.7)</f>
        <v>30% | 
Invest
26000-7800= 
Rest 18200</v>
      </c>
      <c r="M89" s="562" t="str">
        <f>CONCATENATE("30% | 
Invest
",I89,"-",I89*0.3,"= 
Rest ",I89*0.7)</f>
        <v>30% | 
Invest
26000-7800= 
Rest 18200</v>
      </c>
      <c r="N89" s="1"/>
      <c r="O89" s="539">
        <v>1.35</v>
      </c>
      <c r="P89" s="43">
        <f t="shared" si="0"/>
        <v>22222</v>
      </c>
      <c r="Q89" s="16" t="s">
        <v>31</v>
      </c>
      <c r="R89" s="554">
        <v>3.1</v>
      </c>
      <c r="S89" s="560"/>
      <c r="T89" s="556"/>
      <c r="U89" s="542" t="s">
        <v>145</v>
      </c>
      <c r="V89" s="543" t="str">
        <f>CONCATENATE("289","g CO² pro kWh ",ROUND(((289.48913611004/1000)*AP82)/1000,3)," t CO²")</f>
        <v>289g CO² pro kWh 8,685 t CO²</v>
      </c>
      <c r="W89" s="557" t="str">
        <f t="shared" si="6"/>
        <v>240  Erdgas 5,333 t CO²;
270 Flüssig 6 t CO²;
140 Bio 3,111 t CO²;
75 Bio erzeugt 1,667 t CO²;
180 Biogenes Flüssiggas 4 t CO²</v>
      </c>
      <c r="X89" s="543" t="str">
        <f>CONCATENATE("182 Erdgas, verflüssigt ",ROUND(((182.0448/1000)*AP82)/1000,3)," t CO²")</f>
        <v>182 Erdgas, verflüssigt 5,461 t CO²</v>
      </c>
      <c r="Y89" s="543" t="str">
        <f>CONCATENATE("266 Erdgas ",ROUND(((266/1000)*AP82)/1000,3)," t CO²")</f>
        <v>266 Erdgas 7,98 t CO²</v>
      </c>
      <c r="Z89" s="545" t="str">
        <f t="shared" si="10"/>
        <v>235 gCO²je kWh Heizöl leicht 6,409 t CO²</v>
      </c>
      <c r="AA89" s="546">
        <f t="shared" si="7"/>
        <v>3.2</v>
      </c>
      <c r="AB89" s="558">
        <v>182</v>
      </c>
      <c r="AC89" s="548" t="str">
        <f t="shared" si="8"/>
        <v xml:space="preserve">4,04 t | 809 € </v>
      </c>
      <c r="AD89" s="549">
        <v>7.0000000000000007E-2</v>
      </c>
      <c r="AE89" s="10" t="str">
        <f t="shared" si="1"/>
        <v>1556 €| 
Energiekosten &amp; CO² = 2364 €</v>
      </c>
      <c r="AF89" s="11" t="str">
        <f t="shared" si="2"/>
        <v>vielleicht Teurer</v>
      </c>
      <c r="AG89" s="12">
        <f t="shared" si="3"/>
        <v>0</v>
      </c>
      <c r="AH89" s="539">
        <f t="shared" si="11"/>
        <v>20</v>
      </c>
      <c r="AI89" s="550" t="str">
        <f t="shared" si="4"/>
        <v>1300€ im Jahr</v>
      </c>
      <c r="AJ89" s="539" t="s">
        <v>57</v>
      </c>
      <c r="AK89" s="551" t="str">
        <f t="shared" si="5"/>
        <v xml:space="preserve">100 €|200 €|1733€ </v>
      </c>
      <c r="AM89" s="5">
        <v>0.25</v>
      </c>
      <c r="AN89" s="536" t="s">
        <v>3</v>
      </c>
      <c r="AO89" s="3">
        <v>0.35</v>
      </c>
      <c r="AP89" s="14" t="str">
        <f t="shared" si="9"/>
        <v>(525 €| 735 €) || 4875 €/a | 4665 €/a</v>
      </c>
      <c r="AV89" s="297" t="s">
        <v>165</v>
      </c>
      <c r="AW89" s="297" t="s">
        <v>166</v>
      </c>
      <c r="AX89" s="297" t="s">
        <v>167</v>
      </c>
      <c r="AY89" s="297" t="s">
        <v>168</v>
      </c>
    </row>
    <row r="90" spans="2:73" ht="70.5" customHeight="1">
      <c r="B90" s="325"/>
      <c r="C90" s="559"/>
      <c r="D90" s="533" t="s">
        <v>131</v>
      </c>
      <c r="E90" s="534" t="s">
        <v>182</v>
      </c>
      <c r="F90" s="534"/>
      <c r="G90" s="535">
        <v>35000</v>
      </c>
      <c r="H90" s="536" t="s">
        <v>3</v>
      </c>
      <c r="I90" s="537">
        <v>40000</v>
      </c>
      <c r="J90" s="538"/>
      <c r="K90" s="536"/>
      <c r="L90" s="539"/>
      <c r="M90" s="539"/>
      <c r="N90" s="1"/>
      <c r="O90" s="563">
        <v>1.3</v>
      </c>
      <c r="P90" s="43">
        <f t="shared" si="0"/>
        <v>23077</v>
      </c>
      <c r="Q90" s="16" t="s">
        <v>32</v>
      </c>
      <c r="R90" s="554" t="s">
        <v>130</v>
      </c>
      <c r="S90" s="560"/>
      <c r="T90" s="556"/>
      <c r="U90" s="542" t="s">
        <v>146</v>
      </c>
      <c r="V90" s="543" t="str">
        <f>CONCATENATE("289","g CO² pro kWh ",ROUND(((289.48913611004/1000)*AP82)/1000,3)," t CO²")</f>
        <v>289g CO² pro kWh 8,685 t CO²</v>
      </c>
      <c r="W90" s="557" t="str">
        <f t="shared" si="6"/>
        <v>240  Erdgas 5,538 t CO²;
270 Flüssig 6,231 t CO²;
140 Bio 3,231 t CO²;
75 Bio erzeugt 1,731 t CO²;
180 Biogenes Flüssiggas 4,154 t CO²</v>
      </c>
      <c r="X90" s="543" t="str">
        <f>CONCATENATE("182 Erdgas, verflüssigt ",ROUND(((182.0448/1000)*AP82)/1000,3)," t CO²")</f>
        <v>182 Erdgas, verflüssigt 5,461 t CO²</v>
      </c>
      <c r="Y90" s="543" t="str">
        <f>CONCATENATE("266 Erdgas ",ROUND(((266/1000)*AP82)/1000,3)," t CO²")</f>
        <v>266 Erdgas 7,98 t CO²</v>
      </c>
      <c r="Z90" s="545" t="str">
        <f t="shared" si="10"/>
        <v>235 gCO²je kWh Heizöl leicht 5,222 t CO²</v>
      </c>
      <c r="AA90" s="546">
        <f t="shared" si="7"/>
        <v>3.2</v>
      </c>
      <c r="AB90" s="558">
        <v>182</v>
      </c>
      <c r="AC90" s="548" t="str">
        <f t="shared" si="8"/>
        <v xml:space="preserve">4,2 t | 840 € </v>
      </c>
      <c r="AD90" s="549">
        <v>7.0000000000000007E-2</v>
      </c>
      <c r="AE90" s="10" t="str">
        <f t="shared" si="1"/>
        <v>1615 €| 
Energiekosten &amp; CO² = 2455 €</v>
      </c>
      <c r="AF90" s="11" t="str">
        <f t="shared" si="2"/>
        <v>vielleicht Teurer</v>
      </c>
      <c r="AG90" s="12">
        <f t="shared" si="3"/>
        <v>0</v>
      </c>
      <c r="AH90" s="539">
        <f t="shared" si="11"/>
        <v>20</v>
      </c>
      <c r="AI90" s="550" t="str">
        <f t="shared" si="4"/>
        <v>2000€ im Jahr</v>
      </c>
      <c r="AJ90" s="539" t="s">
        <v>57</v>
      </c>
      <c r="AK90" s="551" t="str">
        <f t="shared" si="5"/>
        <v xml:space="preserve">100 €|200 €|2667€ </v>
      </c>
      <c r="AM90" s="5">
        <v>0.03</v>
      </c>
      <c r="AN90" s="536" t="s">
        <v>3</v>
      </c>
      <c r="AO90" s="3">
        <v>0.3</v>
      </c>
      <c r="AP90" s="14" t="str">
        <f t="shared" si="9"/>
        <v>(63 €| 630 €) || 5337 €/a | 4770 €/a</v>
      </c>
      <c r="AV90" s="297" t="s">
        <v>169</v>
      </c>
      <c r="AW90" s="297" t="s">
        <v>170</v>
      </c>
      <c r="AX90" s="297" t="s">
        <v>171</v>
      </c>
      <c r="AY90" s="297" t="s">
        <v>172</v>
      </c>
    </row>
    <row r="91" spans="2:73" ht="53.5" customHeight="1">
      <c r="B91" s="325"/>
      <c r="C91" s="559"/>
      <c r="D91" s="533" t="s">
        <v>628</v>
      </c>
      <c r="E91" s="534" t="s">
        <v>5</v>
      </c>
      <c r="F91" s="534"/>
      <c r="G91" s="535">
        <v>32000</v>
      </c>
      <c r="H91" s="536" t="s">
        <v>3</v>
      </c>
      <c r="I91" s="537">
        <v>35000</v>
      </c>
      <c r="J91" s="538"/>
      <c r="K91" s="548"/>
      <c r="L91" s="564"/>
      <c r="M91" s="565" t="str">
        <f>CONCATENATE("8800€ | 
Invest
",I91,"-",I91-8800,"= 
Rest ",I91-8800)</f>
        <v>8800€ | 
Invest
35000-26200= 
Rest 26200</v>
      </c>
      <c r="N91" s="1"/>
      <c r="O91" s="563">
        <v>1.3</v>
      </c>
      <c r="P91" s="43">
        <f t="shared" si="0"/>
        <v>23077</v>
      </c>
      <c r="Q91" s="16" t="s">
        <v>32</v>
      </c>
      <c r="R91" s="554">
        <v>4.0999999999999996</v>
      </c>
      <c r="S91" s="560"/>
      <c r="T91" s="556"/>
      <c r="U91" s="542" t="s">
        <v>146</v>
      </c>
      <c r="V91" s="543" t="str">
        <f>CONCATENATE("289","g CO² pro kWh ",ROUND(((289.48913611004/1000)*AP82)/1000,3)," t CO²")</f>
        <v>289g CO² pro kWh 8,685 t CO²</v>
      </c>
      <c r="W91" s="557" t="str">
        <f t="shared" si="6"/>
        <v>240  Erdgas 5,538 t CO²;
270 Flüssig 6,231 t CO²;
140 Bio 3,231 t CO²;
75 Bio erzeugt 1,731 t CO²;
180 Biogenes Flüssiggas 4,154 t CO²</v>
      </c>
      <c r="X91" s="543" t="str">
        <f>CONCATENATE("182 Erdgas, verflüssigt ",ROUND(((182.0448/1000)*AP82)/1000,3)," t CO²")</f>
        <v>182 Erdgas, verflüssigt 5,461 t CO²</v>
      </c>
      <c r="Y91" s="543" t="str">
        <f>CONCATENATE("266 Erdgas ",ROUND(((266/1000)*AP82)/1000,3)," t CO²")</f>
        <v>266 Erdgas 7,98 t CO²</v>
      </c>
      <c r="Z91" s="545" t="str">
        <f t="shared" si="10"/>
        <v>235 gCO²je kWh Heizöl leicht 5,423 t CO²</v>
      </c>
      <c r="AA91" s="546">
        <f t="shared" si="7"/>
        <v>3.2</v>
      </c>
      <c r="AB91" s="558">
        <v>182</v>
      </c>
      <c r="AC91" s="548" t="str">
        <f t="shared" si="8"/>
        <v xml:space="preserve">4,2 t | 840 € </v>
      </c>
      <c r="AD91" s="549">
        <v>7.0000000000000007E-2</v>
      </c>
      <c r="AE91" s="10" t="str">
        <f t="shared" si="1"/>
        <v>1615 €| 
Energiekosten &amp; CO² = 2455 €</v>
      </c>
      <c r="AF91" s="11" t="str">
        <f t="shared" si="2"/>
        <v>vielleicht Teurer</v>
      </c>
      <c r="AG91" s="12">
        <f t="shared" si="3"/>
        <v>0</v>
      </c>
      <c r="AH91" s="539">
        <f t="shared" si="11"/>
        <v>20</v>
      </c>
      <c r="AI91" s="550" t="str">
        <f t="shared" si="4"/>
        <v>1750€ im Jahr</v>
      </c>
      <c r="AJ91" s="539" t="s">
        <v>57</v>
      </c>
      <c r="AK91" s="551" t="str">
        <f t="shared" si="5"/>
        <v xml:space="preserve">100 €|200 €|2333€ </v>
      </c>
      <c r="AM91" s="5">
        <v>0.03</v>
      </c>
      <c r="AN91" s="536" t="s">
        <v>3</v>
      </c>
      <c r="AO91" s="3">
        <v>0.2</v>
      </c>
      <c r="AP91" s="14" t="str">
        <f t="shared" si="9"/>
        <v>(63 €| 420 €) || 5337 €/a | 4980 €/a</v>
      </c>
      <c r="AV91" s="297" t="s">
        <v>173</v>
      </c>
      <c r="AW91" s="297" t="s">
        <v>174</v>
      </c>
      <c r="AX91" s="297" t="s">
        <v>175</v>
      </c>
      <c r="AY91" s="297" t="s">
        <v>176</v>
      </c>
    </row>
    <row r="92" spans="2:73" ht="53.5" customHeight="1" thickBot="1">
      <c r="B92" s="325"/>
      <c r="C92" s="566"/>
      <c r="D92" s="533" t="s">
        <v>629</v>
      </c>
      <c r="E92" s="534" t="s">
        <v>621</v>
      </c>
      <c r="F92" s="534"/>
      <c r="G92" s="535">
        <v>12000</v>
      </c>
      <c r="H92" s="536" t="s">
        <v>3</v>
      </c>
      <c r="I92" s="537">
        <v>25000</v>
      </c>
      <c r="J92" s="567" t="s">
        <v>45</v>
      </c>
      <c r="K92" s="562" t="str">
        <f>CONCATENATE("20% | 
Invest
",I92,"-",I92*0.2,"= 
Rest ",I92*0.8)</f>
        <v>20% | 
Invest
25000-5000= 
Rest 20000</v>
      </c>
      <c r="L92" s="562" t="str">
        <f>CONCATENATE("45% | 
Invest
",I92,"-",I92*0.45,"= 
Rest ",I92*0.55)</f>
        <v>45% | 
Invest
25000-11250= 
Rest 13750</v>
      </c>
      <c r="M92" s="562" t="str">
        <f>CONCATENATE("45% | 
Invest
",I92,"-",I92*0.45,"= 
Rest ",I92*0.55)</f>
        <v>45% | 
Invest
25000-11250= 
Rest 13750</v>
      </c>
      <c r="N92" s="1"/>
      <c r="O92" s="563">
        <v>1.45</v>
      </c>
      <c r="P92" s="43">
        <f t="shared" si="0"/>
        <v>20690</v>
      </c>
      <c r="Q92" s="16" t="s">
        <v>32</v>
      </c>
      <c r="R92" s="554" t="s">
        <v>131</v>
      </c>
      <c r="S92" s="568"/>
      <c r="T92" s="556"/>
      <c r="U92" s="569" t="s">
        <v>137</v>
      </c>
      <c r="V92" s="570" t="str">
        <f>CONCATENATE("289","g CO² pro kWh ",ROUND(((289.48913611004/1000)*AP82)/1000,3)," t CO²")</f>
        <v>289g CO² pro kWh 8,685 t CO²</v>
      </c>
      <c r="W92" s="571" t="str">
        <f t="shared" si="6"/>
        <v>240  Erdgas 4,966 t CO²;
270 Flüssig 5,586 t CO²;
140 Bio 2,897 t CO²;
75 Bio erzeugt 1,552 t CO²;
180 Biogenes Flüssiggas 3,724 t CO²</v>
      </c>
      <c r="X92" s="570" t="str">
        <f>CONCATENATE("182 Erdgas, verflüssigt ",ROUND(((182.0448/1000)*AP82)/1000,3)," t CO²")</f>
        <v>182 Erdgas, verflüssigt 5,461 t CO²</v>
      </c>
      <c r="Y92" s="570" t="str">
        <f>CONCATENATE("266 Erdgas ",ROUND(((266/1000)*AP82)/1000,3)," t CO²")</f>
        <v>266 Erdgas 7,98 t CO²</v>
      </c>
      <c r="Z92" s="545" t="str">
        <f t="shared" si="10"/>
        <v>235 gCO²je kWh Heizöl leicht 5,423 t CO²</v>
      </c>
      <c r="AA92" s="546">
        <f t="shared" si="7"/>
        <v>3.2</v>
      </c>
      <c r="AB92" s="558">
        <v>182</v>
      </c>
      <c r="AC92" s="548" t="str">
        <f t="shared" si="8"/>
        <v xml:space="preserve">3,77 t | 753 € </v>
      </c>
      <c r="AD92" s="549">
        <v>7.0000000000000007E-2</v>
      </c>
      <c r="AE92" s="10" t="str">
        <f t="shared" si="1"/>
        <v>1448 €| 
Energiekosten &amp; CO² = 2201 €</v>
      </c>
      <c r="AF92" s="11" t="str">
        <f t="shared" si="2"/>
        <v>vielleicht Teurer</v>
      </c>
      <c r="AG92" s="12">
        <f t="shared" si="3"/>
        <v>0</v>
      </c>
      <c r="AH92" s="539">
        <f t="shared" si="11"/>
        <v>20</v>
      </c>
      <c r="AI92" s="550" t="str">
        <f t="shared" si="4"/>
        <v>1250€ im Jahr</v>
      </c>
      <c r="AJ92" s="539" t="s">
        <v>57</v>
      </c>
      <c r="AK92" s="551" t="str">
        <f t="shared" si="5"/>
        <v xml:space="preserve">100 €|200 €|1667€ </v>
      </c>
      <c r="AM92" s="5">
        <v>0.03</v>
      </c>
      <c r="AN92" s="536" t="s">
        <v>3</v>
      </c>
      <c r="AO92" s="3">
        <v>0.4</v>
      </c>
      <c r="AP92" s="14" t="str">
        <f>CONCATENATE("(",$AP$82*AM92*LEFT($AD92,5)," €| ",,$AP$82*AO92*LEFT($AD92,5)," €) || ",$AP$81-($AP$82*AM92*LEFT($AD92,5))," €/a | ",$AP$81-($AP$82*AO92*LEFT($AD92,4))," €/a")</f>
        <v>(63 €| 840 €) || 5337 €/a | 4560 €/a</v>
      </c>
    </row>
    <row r="93" spans="2:73" ht="53.5" customHeight="1">
      <c r="B93" s="325"/>
      <c r="C93" s="553" t="s">
        <v>6</v>
      </c>
      <c r="D93" s="533">
        <v>3.1</v>
      </c>
      <c r="E93" s="534" t="s">
        <v>49</v>
      </c>
      <c r="F93" s="534"/>
      <c r="G93" s="535">
        <v>12000</v>
      </c>
      <c r="H93" s="536" t="s">
        <v>3</v>
      </c>
      <c r="I93" s="537">
        <v>18000</v>
      </c>
      <c r="J93" s="567" t="s">
        <v>47</v>
      </c>
      <c r="K93" s="562" t="str">
        <f t="shared" ref="K93:K99" si="12">CONCATENATE("20% | 
Invest
",I93,"-",I93*0.2,"= 
Rest ",I93*0.8)</f>
        <v>20% | 
Invest
18000-3600= 
Rest 14400</v>
      </c>
      <c r="L93" s="562" t="str">
        <f t="shared" ref="L93:L99" si="13">CONCATENATE("45% | 
Invest
",I93,"-",I93*0.45,"= 
Rest ",I93*0.55)</f>
        <v>45% | 
Invest
18000-8100= 
Rest 9900</v>
      </c>
      <c r="M93" s="562" t="str">
        <f t="shared" ref="M93:M99" si="14">CONCATENATE("45% | 
Invest
",I93,"-",I93*0.45,"= 
Rest ",I93*0.55)</f>
        <v>45% | 
Invest
18000-8100= 
Rest 9900</v>
      </c>
      <c r="N93" s="1"/>
      <c r="O93" s="572">
        <v>4</v>
      </c>
      <c r="P93" s="43" t="str">
        <f>CONCATENATE(ROUND($AP$82/O93,0),)</f>
        <v>7500</v>
      </c>
      <c r="Q93" s="16" t="s">
        <v>30</v>
      </c>
      <c r="R93" s="573">
        <v>3.1</v>
      </c>
      <c r="S93" s="323" t="s">
        <v>133</v>
      </c>
      <c r="T93" s="574" t="s">
        <v>451</v>
      </c>
      <c r="U93" s="575">
        <v>0.2</v>
      </c>
      <c r="V93" s="576" t="str">
        <f>CONCATENATE("25 ","g CO² pro kWh ",ROUND(((25.0687519885915 /1000)*AP82)/1000,3)," t CO²")</f>
        <v>25 g CO² pro kWh 0,752 t CO²</v>
      </c>
      <c r="W93" s="577" t="str">
        <f>CONCATENATE("20 ","g CO² pro kWh ",ROUND(((20/1000)*P93)/1000,3)," t CO²")</f>
        <v>20 g CO² pro kWh 0,15 t CO²</v>
      </c>
      <c r="X93" s="578">
        <v>0</v>
      </c>
      <c r="Y93" s="576" t="str">
        <f>CONCATENATE("29 Biomasse Holz ",ROUND(((29/1000)*AP82)/1000,3)," t CO²")</f>
        <v>29 Biomasse Holz 0,87 t CO²</v>
      </c>
      <c r="Z93" s="545" t="str">
        <f>CONCATENATE("8 Hackschnitzel ",ROUND(((8/1000)*AP80)/1000,3)," t CO²")</f>
        <v>8 Hackschnitzel 0 t CO²</v>
      </c>
      <c r="AA93" s="546">
        <f t="shared" si="7"/>
        <v>3.2</v>
      </c>
      <c r="AB93" s="579">
        <v>29</v>
      </c>
      <c r="AC93" s="548" t="str">
        <f t="shared" si="8"/>
        <v xml:space="preserve">0,22 t | 44 € </v>
      </c>
      <c r="AD93" s="549">
        <v>0.06</v>
      </c>
      <c r="AE93" s="10" t="str">
        <f t="shared" si="1"/>
        <v>450 €| 
Energiekosten &amp; CO² = 494 €</v>
      </c>
      <c r="AF93" s="11" t="str">
        <f t="shared" si="2"/>
        <v>vielleicht Teurer</v>
      </c>
      <c r="AG93" s="12">
        <f t="shared" si="3"/>
        <v>0</v>
      </c>
      <c r="AH93" s="539">
        <f t="shared" si="11"/>
        <v>20</v>
      </c>
      <c r="AI93" s="550" t="str">
        <f t="shared" si="4"/>
        <v>900€ im Jahr</v>
      </c>
      <c r="AJ93" s="539" t="s">
        <v>58</v>
      </c>
      <c r="AK93" s="551" t="str">
        <f t="shared" si="5"/>
        <v xml:space="preserve">100 €|200 €|1200€ </v>
      </c>
      <c r="AM93" s="5">
        <v>0.03</v>
      </c>
      <c r="AN93" s="536" t="s">
        <v>3</v>
      </c>
      <c r="AO93" s="3">
        <v>0.4</v>
      </c>
      <c r="AP93" s="14" t="str">
        <f t="shared" si="9"/>
        <v>(54 €| 720 €) || 5346 €/a | 4680 €/a</v>
      </c>
    </row>
    <row r="94" spans="2:73" ht="53.5" customHeight="1">
      <c r="B94" s="325"/>
      <c r="C94" s="559"/>
      <c r="D94" s="533">
        <v>3.2</v>
      </c>
      <c r="E94" s="534" t="s">
        <v>50</v>
      </c>
      <c r="F94" s="534"/>
      <c r="G94" s="535">
        <v>20000</v>
      </c>
      <c r="H94" s="536" t="s">
        <v>3</v>
      </c>
      <c r="I94" s="537">
        <v>27000</v>
      </c>
      <c r="J94" s="567" t="s">
        <v>47</v>
      </c>
      <c r="K94" s="562" t="str">
        <f t="shared" si="12"/>
        <v>20% | 
Invest
27000-5400= 
Rest 21600</v>
      </c>
      <c r="L94" s="562" t="str">
        <f t="shared" si="13"/>
        <v>45% | 
Invest
27000-12150= 
Rest 14850</v>
      </c>
      <c r="M94" s="562" t="str">
        <f t="shared" si="14"/>
        <v>45% | 
Invest
27000-12150= 
Rest 14850</v>
      </c>
      <c r="N94" s="1"/>
      <c r="O94" s="572">
        <v>4.8</v>
      </c>
      <c r="P94" s="43" t="str">
        <f>CONCATENATE(ROUND($AP$82/O94,0),)</f>
        <v>6250</v>
      </c>
      <c r="Q94" s="16" t="s">
        <v>30</v>
      </c>
      <c r="R94" s="573">
        <v>3.2</v>
      </c>
      <c r="S94" s="324"/>
      <c r="T94" s="580"/>
      <c r="U94" s="539">
        <v>0.2</v>
      </c>
      <c r="V94" s="581" t="str">
        <f>CONCATENATE("29","g CO² pro kWh ",ROUND(((29.2066605448948 /1000)*AP82)/1000,3)," t CO²")</f>
        <v>29g CO² pro kWh 0,876 t CO²</v>
      </c>
      <c r="W94" s="582" t="str">
        <f>CONCATENATE("20 ","g CO² pro kWh ",ROUND(((20/1000)*P94)/1000,3)," t CO²")</f>
        <v>20 g CO² pro kWh 0,125 t CO²</v>
      </c>
      <c r="X94" s="583">
        <v>0</v>
      </c>
      <c r="Y94" s="581" t="str">
        <f>CONCATENATE("23 Pellets ",ROUND(((23/1000)*AP82)/1000,3)," t CO²")</f>
        <v>23 Pellets 0,69 t CO²</v>
      </c>
      <c r="Z94" s="545" t="str">
        <f>CONCATENATE("21 Pellets ",ROUND(((21/1000)*AP81)/1000,3)," t CO²")</f>
        <v>21 Pellets 0,113 t CO²</v>
      </c>
      <c r="AA94" s="546">
        <f t="shared" si="7"/>
        <v>3.2</v>
      </c>
      <c r="AB94" s="584">
        <v>23</v>
      </c>
      <c r="AC94" s="548" t="str">
        <f t="shared" si="8"/>
        <v xml:space="preserve">0,14 t | 29 € </v>
      </c>
      <c r="AD94" s="549">
        <v>0.06</v>
      </c>
      <c r="AE94" s="10" t="str">
        <f t="shared" si="1"/>
        <v>375 €| 
Energiekosten &amp; CO² = 404 €</v>
      </c>
      <c r="AF94" s="11" t="str">
        <f t="shared" si="2"/>
        <v>vielleicht Teurer</v>
      </c>
      <c r="AG94" s="12">
        <f t="shared" si="3"/>
        <v>0</v>
      </c>
      <c r="AH94" s="539">
        <f t="shared" si="11"/>
        <v>20</v>
      </c>
      <c r="AI94" s="550" t="str">
        <f t="shared" si="4"/>
        <v>1350€ im Jahr</v>
      </c>
      <c r="AJ94" s="539" t="s">
        <v>58</v>
      </c>
      <c r="AK94" s="551" t="str">
        <f t="shared" si="5"/>
        <v xml:space="preserve">100 €|200 €|1800€ </v>
      </c>
      <c r="AM94" s="5">
        <v>0.03</v>
      </c>
      <c r="AN94" s="536" t="s">
        <v>3</v>
      </c>
      <c r="AO94" s="3">
        <v>0.4</v>
      </c>
      <c r="AP94" s="14" t="str">
        <f t="shared" si="9"/>
        <v>(54 €| 720 €) || 5346 €/a | 4680 €/a</v>
      </c>
    </row>
    <row r="95" spans="2:73" ht="53.5" customHeight="1">
      <c r="B95" s="325"/>
      <c r="C95" s="566"/>
      <c r="D95" s="533">
        <v>3.3</v>
      </c>
      <c r="E95" s="534" t="s">
        <v>51</v>
      </c>
      <c r="F95" s="534"/>
      <c r="G95" s="535">
        <v>35000</v>
      </c>
      <c r="H95" s="536" t="s">
        <v>3</v>
      </c>
      <c r="I95" s="537">
        <v>40000</v>
      </c>
      <c r="J95" s="567" t="s">
        <v>47</v>
      </c>
      <c r="K95" s="562" t="str">
        <f t="shared" si="12"/>
        <v>20% | 
Invest
40000-8000= 
Rest 32000</v>
      </c>
      <c r="L95" s="562" t="str">
        <f t="shared" si="13"/>
        <v>45% | 
Invest
40000-18000= 
Rest 22000</v>
      </c>
      <c r="M95" s="562" t="str">
        <f t="shared" si="14"/>
        <v>45% | 
Invest
40000-18000= 
Rest 22000</v>
      </c>
      <c r="N95" s="1"/>
      <c r="O95" s="572">
        <v>4.8</v>
      </c>
      <c r="P95" s="43" t="str">
        <f>CONCATENATE(ROUND($AP$82/O95,0),)</f>
        <v>6250</v>
      </c>
      <c r="Q95" s="16" t="s">
        <v>30</v>
      </c>
      <c r="R95" s="573">
        <v>3.3</v>
      </c>
      <c r="S95" s="324"/>
      <c r="T95" s="580"/>
      <c r="U95" s="539">
        <v>0.2</v>
      </c>
      <c r="V95" s="581" t="str">
        <f>CONCATENATE("29 ","g CO² pro kWh ",ROUND(((29.2066605448948 /1000)*AP82)/1000,3)," t CO²")</f>
        <v>29 g CO² pro kWh 0,876 t CO²</v>
      </c>
      <c r="W95" s="582" t="str">
        <f>CONCATENATE("20 ","g CO² pro kWh ",ROUND(((20/1000)*P95)/1000,3)," t CO²")</f>
        <v>20 g CO² pro kWh 0,125 t CO²</v>
      </c>
      <c r="X95" s="583">
        <v>0</v>
      </c>
      <c r="Y95" s="581" t="str">
        <f>CONCATENATE("23 Pellets ",ROUND(((23/1000)*AP82)/1000,3)," t CO²")</f>
        <v>23 Pellets 0,69 t CO²</v>
      </c>
      <c r="Z95" s="545" t="str">
        <f>CONCATENATE("21 Pellets ",ROUND(((21/1000)*AP82)/1000,3)," t CO²")</f>
        <v>21 Pellets 0,63 t CO²</v>
      </c>
      <c r="AA95" s="546">
        <f t="shared" si="7"/>
        <v>3.2</v>
      </c>
      <c r="AB95" s="584">
        <v>23</v>
      </c>
      <c r="AC95" s="548" t="str">
        <f t="shared" si="8"/>
        <v xml:space="preserve">0,14 t | 29 € </v>
      </c>
      <c r="AD95" s="549">
        <v>0.06</v>
      </c>
      <c r="AE95" s="10" t="str">
        <f t="shared" si="1"/>
        <v>375 €| 
Energiekosten &amp; CO² = 404 €</v>
      </c>
      <c r="AF95" s="11" t="str">
        <f t="shared" si="2"/>
        <v>vielleicht Teurer</v>
      </c>
      <c r="AG95" s="12">
        <f t="shared" si="3"/>
        <v>0</v>
      </c>
      <c r="AH95" s="539">
        <f t="shared" si="11"/>
        <v>20</v>
      </c>
      <c r="AI95" s="550" t="str">
        <f t="shared" si="4"/>
        <v>2000€ im Jahr</v>
      </c>
      <c r="AJ95" s="539" t="s">
        <v>58</v>
      </c>
      <c r="AK95" s="551" t="str">
        <f t="shared" si="5"/>
        <v xml:space="preserve">100 €|200 €|2667€ </v>
      </c>
      <c r="AM95" s="5">
        <v>0.03</v>
      </c>
      <c r="AN95" s="536" t="s">
        <v>3</v>
      </c>
      <c r="AO95" s="3">
        <v>0.4</v>
      </c>
      <c r="AP95" s="14" t="str">
        <f t="shared" si="9"/>
        <v>(54 €| 720 €) || 5346 €/a | 4680 €/a</v>
      </c>
    </row>
    <row r="96" spans="2:73" ht="53.5" customHeight="1">
      <c r="B96" s="325"/>
      <c r="C96" s="553" t="s">
        <v>7</v>
      </c>
      <c r="D96" s="533">
        <v>4.0999999999999996</v>
      </c>
      <c r="E96" s="534" t="s">
        <v>630</v>
      </c>
      <c r="F96" s="534"/>
      <c r="G96" s="535">
        <v>18000</v>
      </c>
      <c r="H96" s="536" t="s">
        <v>3</v>
      </c>
      <c r="I96" s="537">
        <v>21000</v>
      </c>
      <c r="J96" s="567" t="s">
        <v>44</v>
      </c>
      <c r="K96" s="562" t="str">
        <f t="shared" si="12"/>
        <v>20% | 
Invest
21000-4200= 
Rest 16800</v>
      </c>
      <c r="L96" s="562" t="str">
        <f t="shared" si="13"/>
        <v>45% | 
Invest
21000-9450= 
Rest 11550</v>
      </c>
      <c r="M96" s="562" t="str">
        <f t="shared" si="14"/>
        <v>45% | 
Invest
21000-9450= 
Rest 11550</v>
      </c>
      <c r="N96" s="1"/>
      <c r="O96" s="585">
        <v>3.2</v>
      </c>
      <c r="P96" s="43">
        <f>ROUND($AP$82/O96,0)</f>
        <v>9375</v>
      </c>
      <c r="Q96" s="16" t="s">
        <v>33</v>
      </c>
      <c r="R96" s="573">
        <v>4.0999999999999996</v>
      </c>
      <c r="S96" s="323" t="s">
        <v>215</v>
      </c>
      <c r="T96" s="580"/>
      <c r="U96" s="327" t="s">
        <v>136</v>
      </c>
      <c r="V96" s="586" t="str">
        <f>CONCATENATE("483","g CO² pro kWh ",ROUND(((483.962541063458  /1000)*AP82)/1000,3)," t CO²")</f>
        <v>483g CO² pro kWh 14,519 t CO²</v>
      </c>
      <c r="W96" s="557" t="str">
        <f>CONCATENATE("560 Netzbezug ", ROUND(((560/1000)*P96)/1000,3)," t CO²;
0 Gebäude nah erzeugt")</f>
        <v>560 Netzbezug 5,25 t CO²;
0 Gebäude nah erzeugt</v>
      </c>
      <c r="X96" s="583">
        <v>0</v>
      </c>
      <c r="Y96" s="581" t="str">
        <f>CONCATENATE("537 Netzbezug ", ROUND(((537/1000)*P96)/1000,3)," t CO²")</f>
        <v>537 Netzbezug 5,034 t CO²</v>
      </c>
      <c r="Z96" s="545" t="str">
        <f>CONCATENATE("532 Netzbezug ", ROUND(((532/1000)*P96)/1000,3)," t CO²")</f>
        <v>532 Netzbezug 4,988 t CO²</v>
      </c>
      <c r="AA96" s="546">
        <f t="shared" si="7"/>
        <v>3.2</v>
      </c>
      <c r="AB96" s="584">
        <v>420</v>
      </c>
      <c r="AC96" s="548" t="str">
        <f t="shared" si="8"/>
        <v xml:space="preserve">3,94 t | 788 € </v>
      </c>
      <c r="AD96" s="549">
        <v>0.22</v>
      </c>
      <c r="AE96" s="10" t="str">
        <f t="shared" si="1"/>
        <v>2063 €| 
Energiekosten &amp; CO² = 2850 €</v>
      </c>
      <c r="AF96" s="11" t="str">
        <f>IF($AP$81&gt;ROUND((((AB97*P96)/1000)*$AC$83)+RIGHT(AD96,4)*P96,0),"vielleicht Günstiger","vielleicht Teurer")</f>
        <v>vielleicht Teurer</v>
      </c>
      <c r="AG96" s="12">
        <f t="shared" si="3"/>
        <v>0</v>
      </c>
      <c r="AH96" s="539">
        <f t="shared" si="11"/>
        <v>20</v>
      </c>
      <c r="AI96" s="550" t="str">
        <f t="shared" si="4"/>
        <v>1050€ im Jahr</v>
      </c>
      <c r="AJ96" s="539" t="s">
        <v>59</v>
      </c>
      <c r="AK96" s="551" t="str">
        <f>CONCATENATE(0," €|",200," €|",ROUND(I96/15,0),"€ ")</f>
        <v xml:space="preserve">0 €|200 €|1400€ </v>
      </c>
      <c r="AM96" s="5">
        <v>0.03</v>
      </c>
      <c r="AN96" s="536" t="s">
        <v>3</v>
      </c>
      <c r="AO96" s="3">
        <v>0.35</v>
      </c>
      <c r="AP96" s="14" t="str">
        <f>CONCATENATE("(",$AP$82*AM96*LEFT($AD96,5)," €| ",,$AP$82*AO96*LEFT($AD96,5),") € || ",$AP$81-($AP$82*AM96*LEFT($AD96,5))," €/a | ",AE96," €/a")</f>
        <v>(198 €| 2310) € || 5202 €/a | 2063 €| 
Energiekosten &amp; CO² = 2850 € €/a</v>
      </c>
    </row>
    <row r="97" spans="1:53" ht="53.5" customHeight="1">
      <c r="B97" s="325"/>
      <c r="C97" s="559"/>
      <c r="D97" s="533">
        <v>4.2</v>
      </c>
      <c r="E97" s="534" t="s">
        <v>631</v>
      </c>
      <c r="F97" s="534"/>
      <c r="G97" s="535">
        <v>28000</v>
      </c>
      <c r="H97" s="536" t="s">
        <v>3</v>
      </c>
      <c r="I97" s="537">
        <v>32000</v>
      </c>
      <c r="J97" s="567" t="s">
        <v>45</v>
      </c>
      <c r="K97" s="562" t="str">
        <f t="shared" si="12"/>
        <v>20% | 
Invest
32000-6400= 
Rest 25600</v>
      </c>
      <c r="L97" s="562" t="str">
        <f t="shared" si="13"/>
        <v>45% | 
Invest
32000-14400= 
Rest 17600</v>
      </c>
      <c r="M97" s="562" t="str">
        <f t="shared" si="14"/>
        <v>45% | 
Invest
32000-14400= 
Rest 17600</v>
      </c>
      <c r="N97" s="1"/>
      <c r="O97" s="585">
        <v>3.6</v>
      </c>
      <c r="P97" s="43">
        <f>ROUND($AP$82/O97,0)</f>
        <v>8333</v>
      </c>
      <c r="Q97" s="16" t="s">
        <v>33</v>
      </c>
      <c r="R97" s="587">
        <v>4.2</v>
      </c>
      <c r="S97" s="323"/>
      <c r="T97" s="580"/>
      <c r="U97" s="327"/>
      <c r="V97" s="586" t="str">
        <f>CONCATENATE("483 ","g CO² pro kWh ",ROUND(((483.962541063458  /1000)*AP82)/1000,3)," t CO²")</f>
        <v>483 g CO² pro kWh 14,519 t CO²</v>
      </c>
      <c r="W97" s="557" t="str">
        <f>CONCATENATE("560 Netzbezug ", ROUND(((560/1000)*P97)/1000,3)," t CO²;
0 Gebäude nah erzeugt")</f>
        <v>560 Netzbezug 4,666 t CO²;
0 Gebäude nah erzeugt</v>
      </c>
      <c r="X97" s="583">
        <v>0</v>
      </c>
      <c r="Y97" s="586" t="str">
        <f>CONCATENATE("537 Strom Inland ",ROUND(((537/1000)*AP83)/1000,3)," t CO²")</f>
        <v>537 Strom Inland 0,086 t CO²</v>
      </c>
      <c r="Z97" s="545" t="str">
        <f t="shared" ref="Z97:Z100" si="15">CONCATENATE("532 Netzbezug ", ROUND(((532/1000)*P97)/1000,3)," t CO²")</f>
        <v>532 Netzbezug 4,433 t CO²</v>
      </c>
      <c r="AA97" s="546">
        <f t="shared" si="7"/>
        <v>3.2</v>
      </c>
      <c r="AB97" s="584">
        <v>500</v>
      </c>
      <c r="AC97" s="548" t="str">
        <f t="shared" si="8"/>
        <v xml:space="preserve">4,17 t | 833 € </v>
      </c>
      <c r="AD97" s="549">
        <v>0.2</v>
      </c>
      <c r="AE97" s="10" t="str">
        <f t="shared" si="1"/>
        <v>1667 €| 
Energiekosten &amp; CO² = 2500 €</v>
      </c>
      <c r="AF97" s="11" t="str">
        <f>IF($AP$81&gt;ROUND((((AB97*P97)/1000)*$AC$83)+RIGHT(AD97,4)*P97,0),"vielleicht Günstiger","vielleicht Teurer")</f>
        <v>vielleicht Teurer</v>
      </c>
      <c r="AG97" s="12">
        <f t="shared" si="3"/>
        <v>0</v>
      </c>
      <c r="AH97" s="539">
        <f t="shared" si="11"/>
        <v>20</v>
      </c>
      <c r="AI97" s="550" t="str">
        <f t="shared" si="4"/>
        <v>1600€ im Jahr</v>
      </c>
      <c r="AJ97" s="539" t="s">
        <v>59</v>
      </c>
      <c r="AK97" s="551" t="str">
        <f>CONCATENATE(0," €|",200," €|",ROUND(I97/15,0),"€ ")</f>
        <v xml:space="preserve">0 €|200 €|2133€ </v>
      </c>
      <c r="AM97" s="5">
        <v>0.03</v>
      </c>
      <c r="AN97" s="536" t="s">
        <v>3</v>
      </c>
      <c r="AO97" s="3">
        <v>0.35</v>
      </c>
      <c r="AP97" s="14" t="str">
        <f>CONCATENATE("(",$AP$82*AM97*LEFT($AD97,5)," €| ",,$AP$82*AO97*LEFT($AD97,5),") € || ",$AP$81-($AP$82*AM97*LEFT($AD97,5))," €/a | ",AE97," €/a")</f>
        <v>(180 €| 2100) € || 5220 €/a | 1667 €| 
Energiekosten &amp; CO² = 2500 € €/a</v>
      </c>
    </row>
    <row r="98" spans="1:53" ht="92.7" customHeight="1">
      <c r="B98" s="325"/>
      <c r="C98" s="559"/>
      <c r="D98" s="533">
        <v>4.3</v>
      </c>
      <c r="E98" s="588" t="str">
        <f>CONCATENATE("Sole/Wasser-Wärmepumpe (Erd-WP; Geothermie, Erdwärmekollektor) inkl. Trinkwasserspeicher 300 Liter; Beispiel: Normaler Festgesteinsuntergrund und wassergesttigtes Sediment (λ &lt;1,5-3,0 W/(mK)) = ",AS80," W/m = Erwärmesondenlänge ",ROUND( AK84/AU80,0),"m bei ",ROUND(AK84,0),"kW Heizleistung; Abstandsregeln zu Sonden (ggf. 6 m auf dem Flurstück &amp; 10 m zur benachbarten Anlage) beachten! Bei Erdwärmekollektor sind ca.",ROUND(AK84/AU80,0),"m² mit einer Kollektorrohrelänge von ca.", ROUND((AK84/AU80)/AS79,0),"m in 20 cm unter der Frostgrenze (80-100cm) erforderlich. ",BQ84, " (JAZ 4,0-5,0 | Arbeitsraum &amp; Logistik beachten)")</f>
        <v>Sole/Wasser-Wärmepumpe (Erd-WP; Geothermie, Erdwärmekollektor) inkl. Trinkwasserspeicher 300 Liter; Beispiel: Normaler Festgesteinsuntergrund und wassergesttigtes Sediment (λ &lt;1,5-3,0 W/(mK)) = 60 W/m = Erwärmesondenlänge 433m bei 26kW Heizleistung; Abstandsregeln zu Sonden (ggf. 6 m auf dem Flurstück &amp; 10 m zur benachbarten Anlage) beachten! Bei Erdwärmekollektor sind ca.433m² mit einer Kollektorrohrelänge von ca.542m in 20 cm unter der Frostgrenze (80-100cm) erforderlich. Eine Fachplanung ist erforderlich (JAZ 4,0-5,0 | Arbeitsraum &amp; Logistik beachten)</v>
      </c>
      <c r="F98" s="588"/>
      <c r="G98" s="535">
        <v>30000</v>
      </c>
      <c r="H98" s="536" t="s">
        <v>3</v>
      </c>
      <c r="I98" s="537">
        <v>60000</v>
      </c>
      <c r="J98" s="567" t="s">
        <v>48</v>
      </c>
      <c r="K98" s="562" t="str">
        <f t="shared" si="12"/>
        <v>20% | 
Invest
60000-12000= 
Rest 48000</v>
      </c>
      <c r="L98" s="562" t="str">
        <f t="shared" si="13"/>
        <v>45% | 
Invest
60000-27000= 
Rest 33000</v>
      </c>
      <c r="M98" s="562" t="str">
        <f t="shared" si="14"/>
        <v>45% | 
Invest
60000-27000= 
Rest 33000</v>
      </c>
      <c r="N98" s="1"/>
      <c r="O98" s="585">
        <v>3.6</v>
      </c>
      <c r="P98" s="43">
        <f>ROUND($AP$82/O98,0)</f>
        <v>8333</v>
      </c>
      <c r="Q98" s="16" t="s">
        <v>33</v>
      </c>
      <c r="R98" s="573">
        <v>4.3</v>
      </c>
      <c r="S98" s="323"/>
      <c r="T98" s="580"/>
      <c r="U98" s="327"/>
      <c r="V98" s="586" t="str">
        <f>CONCATENATE("483 ","g CO² pro kWh ",ROUND(((483.962541063458  /1000)*AP82)/1000,3)," t CO²")</f>
        <v>483 g CO² pro kWh 14,519 t CO²</v>
      </c>
      <c r="W98" s="557" t="str">
        <f>CONCATENATE("560 Netzbezug ", ROUND(((560/1000)*P98)/1000,3)," t CO²;
0 Gebäude nah erzeugt")</f>
        <v>560 Netzbezug 4,666 t CO²;
0 Gebäude nah erzeugt</v>
      </c>
      <c r="X98" s="583">
        <v>0</v>
      </c>
      <c r="Y98" s="586" t="str">
        <f>CONCATENATE("537 Strom Inland ",ROUND(((537/1000)*AP83)/1000,3)," t CO²")</f>
        <v>537 Strom Inland 0,086 t CO²</v>
      </c>
      <c r="Z98" s="545" t="str">
        <f t="shared" si="15"/>
        <v>532 Netzbezug 4,433 t CO²</v>
      </c>
      <c r="AA98" s="546">
        <f t="shared" si="7"/>
        <v>3.2</v>
      </c>
      <c r="AB98" s="584">
        <v>500</v>
      </c>
      <c r="AC98" s="548" t="str">
        <f t="shared" si="8"/>
        <v xml:space="preserve">4,17 t | 833 € </v>
      </c>
      <c r="AD98" s="549">
        <v>0.2</v>
      </c>
      <c r="AE98" s="10" t="str">
        <f t="shared" si="1"/>
        <v>1667 €| 
Energiekosten &amp; CO² = 2500 €</v>
      </c>
      <c r="AF98" s="11" t="str">
        <f>IF($AP$81&gt;ROUND((((AB98*P98)/1000)*$AC$83)+RIGHT(AD98,4)*P98,0),"vielleicht Günstiger","vielleicht Teurer")</f>
        <v>vielleicht Teurer</v>
      </c>
      <c r="AG98" s="12">
        <f t="shared" si="3"/>
        <v>0</v>
      </c>
      <c r="AH98" s="539">
        <f t="shared" si="11"/>
        <v>20</v>
      </c>
      <c r="AI98" s="550" t="str">
        <f t="shared" si="4"/>
        <v>3000€ im Jahr</v>
      </c>
      <c r="AJ98" s="539" t="s">
        <v>59</v>
      </c>
      <c r="AK98" s="551" t="str">
        <f>CONCATENATE(0," €|",200," €|",ROUND(I98/15,0),"€ ")</f>
        <v xml:space="preserve">0 €|200 €|4000€ </v>
      </c>
      <c r="AM98" s="5">
        <v>0.03</v>
      </c>
      <c r="AN98" s="536" t="s">
        <v>3</v>
      </c>
      <c r="AO98" s="3">
        <v>0.35</v>
      </c>
      <c r="AP98" s="14" t="str">
        <f>CONCATENATE("(",$AP$82*AM98*LEFT($AD98,5)," €| ",,$AP$82*AO98*LEFT($AD98,5),") € || ",$AP$81-($AP$82*AM98*LEFT($AD98,5))," €/a | ",AE98," €/a")</f>
        <v>(180 €| 2100) € || 5220 €/a | 1667 €| 
Energiekosten &amp; CO² = 2500 € €/a</v>
      </c>
      <c r="BA98" s="21" t="s">
        <v>179</v>
      </c>
    </row>
    <row r="99" spans="1:53" ht="53.5" customHeight="1">
      <c r="B99" s="325"/>
      <c r="C99" s="559"/>
      <c r="D99" s="533">
        <v>4.4000000000000004</v>
      </c>
      <c r="E99" s="588" t="str">
        <f>CONCATENATE("Wasser-Wasser Wärmepumpe (Wärmespeicher / EISspeicher)  inkl. Trinkwasser; Beispiel Eisspeicher: Arbeitsraum Min. 6 x 11; Auslegung des Speichers mit ",ROUND(((AK84*24)/(24-AS78))+(0.3*AP80),0),"kW bei ",AK84," kW Heizlast, gewählt. ",BQ84, " (JAZ 4,5-5,5)")</f>
        <v>Wasser-Wasser Wärmepumpe (Wärmespeicher / EISspeicher)  inkl. Trinkwasser; Beispiel Eisspeicher: Arbeitsraum Min. 6 x 11; Auslegung des Speichers mit 29kW bei 26 kW Heizlast, gewählt. Eine Fachplanung ist erforderlich (JAZ 4,5-5,5)</v>
      </c>
      <c r="F99" s="588"/>
      <c r="G99" s="535">
        <v>20000</v>
      </c>
      <c r="H99" s="536" t="s">
        <v>3</v>
      </c>
      <c r="I99" s="537">
        <v>40000</v>
      </c>
      <c r="J99" s="567" t="s">
        <v>52</v>
      </c>
      <c r="K99" s="562" t="str">
        <f t="shared" si="12"/>
        <v>20% | 
Invest
40000-8000= 
Rest 32000</v>
      </c>
      <c r="L99" s="562" t="str">
        <f t="shared" si="13"/>
        <v>45% | 
Invest
40000-18000= 
Rest 22000</v>
      </c>
      <c r="M99" s="562" t="str">
        <f t="shared" si="14"/>
        <v>45% | 
Invest
40000-18000= 
Rest 22000</v>
      </c>
      <c r="N99" s="1"/>
      <c r="O99" s="585">
        <v>3.6</v>
      </c>
      <c r="P99" s="43">
        <f>ROUND($AP$82/O99,0)</f>
        <v>8333</v>
      </c>
      <c r="Q99" s="16" t="s">
        <v>33</v>
      </c>
      <c r="R99" s="587">
        <v>4.4000000000000004</v>
      </c>
      <c r="S99" s="323"/>
      <c r="T99" s="580"/>
      <c r="U99" s="327"/>
      <c r="V99" s="586" t="str">
        <f>CONCATENATE("483","g CO² pro kWh ",ROUND(((483.962541063458  /1000)*AP82)/1000,3)," t CO²")</f>
        <v>483g CO² pro kWh 14,519 t CO²</v>
      </c>
      <c r="W99" s="557" t="str">
        <f>CONCATENATE("560 Netzbezug ", ROUND(((560/1000)*P99)/1000,3)," t CO²;
0 Gebäude nah erzeugt")</f>
        <v>560 Netzbezug 4,666 t CO²;
0 Gebäude nah erzeugt</v>
      </c>
      <c r="X99" s="583">
        <v>0</v>
      </c>
      <c r="Y99" s="586" t="str">
        <f>CONCATENATE("537 Strom Inland ",ROUND(((537/1000)*AP83)/1000,3)," t CO²")</f>
        <v>537 Strom Inland 0,086 t CO²</v>
      </c>
      <c r="Z99" s="545" t="str">
        <f t="shared" si="15"/>
        <v>532 Netzbezug 4,433 t CO²</v>
      </c>
      <c r="AA99" s="546">
        <f t="shared" si="7"/>
        <v>3.2</v>
      </c>
      <c r="AB99" s="584">
        <v>500</v>
      </c>
      <c r="AC99" s="548" t="str">
        <f t="shared" si="8"/>
        <v xml:space="preserve">4,17 t | 833 € </v>
      </c>
      <c r="AD99" s="549">
        <v>0.2</v>
      </c>
      <c r="AE99" s="10" t="str">
        <f t="shared" si="1"/>
        <v>1667 €| 
Energiekosten &amp; CO² = 2500 €</v>
      </c>
      <c r="AF99" s="11" t="str">
        <f>IF($AP$81&gt;ROUND((((AB99*P99)/1000)*$AC$83)+RIGHT(AD99,4)*P99,0),"vielleicht Günstiger","vielleicht Teurer")</f>
        <v>vielleicht Teurer</v>
      </c>
      <c r="AG99" s="12">
        <f t="shared" si="3"/>
        <v>0</v>
      </c>
      <c r="AH99" s="539">
        <f t="shared" si="11"/>
        <v>20</v>
      </c>
      <c r="AI99" s="550" t="str">
        <f t="shared" si="4"/>
        <v>2000€ im Jahr</v>
      </c>
      <c r="AJ99" s="539" t="s">
        <v>59</v>
      </c>
      <c r="AK99" s="551" t="str">
        <f>CONCATENATE(0," €|",200," €|",ROUND(I99/15,0),"€ ")</f>
        <v xml:space="preserve">0 €|200 €|2667€ </v>
      </c>
      <c r="AM99" s="5">
        <v>0.03</v>
      </c>
      <c r="AN99" s="536" t="s">
        <v>3</v>
      </c>
      <c r="AO99" s="3">
        <v>0.35</v>
      </c>
      <c r="AP99" s="14" t="str">
        <f>CONCATENATE("(",$AP$82*AM99*LEFT($AD99,5)," €| ",,$AP$82*AO99*LEFT($AD99,5),") € || ",$AP$81-($AP$82*AM99*LEFT($AD99,5))," €/a | ",AE99," €/a")</f>
        <v>(180 €| 2100) € || 5220 €/a | 1667 €| 
Energiekosten &amp; CO² = 2500 € €/a</v>
      </c>
    </row>
    <row r="100" spans="1:53" ht="50.7" customHeight="1">
      <c r="B100" s="325"/>
      <c r="C100" s="566"/>
      <c r="D100" s="533">
        <v>4.5</v>
      </c>
      <c r="E100" s="534" t="s">
        <v>632</v>
      </c>
      <c r="F100" s="534"/>
      <c r="G100" s="535">
        <v>1000</v>
      </c>
      <c r="H100" s="536"/>
      <c r="I100" s="537">
        <v>15000</v>
      </c>
      <c r="J100" s="538"/>
      <c r="K100" s="548"/>
      <c r="L100" s="539"/>
      <c r="M100" s="539"/>
      <c r="N100" s="1"/>
      <c r="O100" s="539">
        <v>1.2</v>
      </c>
      <c r="P100" s="43">
        <f>ROUND($AP$82/O100,0)</f>
        <v>25000</v>
      </c>
      <c r="Q100" s="16" t="s">
        <v>31</v>
      </c>
      <c r="R100" s="573">
        <v>4.5</v>
      </c>
      <c r="S100" s="323"/>
      <c r="T100" s="580"/>
      <c r="U100" s="294" t="s">
        <v>147</v>
      </c>
      <c r="V100" s="586" t="str">
        <f>CONCATENATE("483","g CO² pro kWh ",ROUND(((483.962541063458  /1000)*AP82)/1000,3)," t CO²")</f>
        <v>483g CO² pro kWh 14,519 t CO²</v>
      </c>
      <c r="W100" s="557" t="str">
        <f>CONCATENATE("560 Netzbezug ", ROUND(((560/1000)*P100)/1000,3)," t CO²;
0 Gebäude nah erzeugt")</f>
        <v>560 Netzbezug 14 t CO²;
0 Gebäude nah erzeugt</v>
      </c>
      <c r="X100" s="583">
        <v>0</v>
      </c>
      <c r="Y100" s="586" t="str">
        <f>CONCATENATE("537 Strom Inland ",ROUND(((537/1000)*AP82)/1000,3)," t CO²")</f>
        <v>537 Strom Inland 16,11 t CO²</v>
      </c>
      <c r="Z100" s="545" t="str">
        <f t="shared" si="15"/>
        <v>532 Netzbezug 13,3 t CO²</v>
      </c>
      <c r="AA100" s="546">
        <f t="shared" si="7"/>
        <v>3.2</v>
      </c>
      <c r="AB100" s="584">
        <v>500</v>
      </c>
      <c r="AC100" s="548" t="str">
        <f t="shared" si="8"/>
        <v xml:space="preserve">12,5 t | 2500 € </v>
      </c>
      <c r="AD100" s="549">
        <v>0.26</v>
      </c>
      <c r="AE100" s="10" t="str">
        <f t="shared" si="1"/>
        <v>6500 €| 
Energiekosten &amp; CO² = 9000 €</v>
      </c>
      <c r="AF100" s="11" t="str">
        <f>IF($AP$81&gt;ROUND((((AB100*P100)/1000)*$AC$83)+RIGHT(AD100,4)*P100,0),"vielleicht Günstiger","vielleicht Teurer")</f>
        <v>vielleicht Teurer</v>
      </c>
      <c r="AG100" s="12">
        <f t="shared" si="3"/>
        <v>0</v>
      </c>
      <c r="AH100" s="539">
        <f t="shared" si="11"/>
        <v>20</v>
      </c>
      <c r="AI100" s="550" t="str">
        <f t="shared" si="4"/>
        <v>750€ im Jahr</v>
      </c>
      <c r="AJ100" s="539" t="s">
        <v>59</v>
      </c>
      <c r="AK100" s="551" t="str">
        <f>CONCATENATE(0," €|",0," €|",ROUND(I100/15,0),"€ ")</f>
        <v xml:space="preserve">0 €|0 €|1000€ </v>
      </c>
      <c r="AM100" s="5">
        <v>0</v>
      </c>
      <c r="AN100" s="536"/>
      <c r="AO100" s="3">
        <v>0.5</v>
      </c>
      <c r="AP100" s="14" t="str">
        <f>CONCATENATE("(",$AP$82*AM100*LEFT($AD100,5)," €| ",,$AP$82*AO100*LEFT($AD100,5),") € || ",$AP$81-($AP$82*AM100*LEFT($AD100,5))," €/a | ",AE100," €/a")</f>
        <v>(0 €| 3900) € || 5400 €/a | 6500 €| 
Energiekosten &amp; CO² = 9000 € €/a</v>
      </c>
    </row>
    <row r="101" spans="1:53" ht="50.4" customHeight="1">
      <c r="B101" s="325"/>
      <c r="C101" s="589" t="s">
        <v>26</v>
      </c>
      <c r="D101" s="533">
        <v>5.0999999999999996</v>
      </c>
      <c r="E101" s="534" t="s">
        <v>456</v>
      </c>
      <c r="F101" s="534"/>
      <c r="G101" s="535">
        <v>300</v>
      </c>
      <c r="H101" s="536" t="s">
        <v>3</v>
      </c>
      <c r="I101" s="537">
        <v>1000</v>
      </c>
      <c r="J101" s="538"/>
      <c r="K101" s="548"/>
      <c r="L101" s="539"/>
      <c r="M101" s="539"/>
      <c r="N101" s="1"/>
      <c r="O101" s="539"/>
      <c r="P101" s="43">
        <f>(0.6* 900)</f>
        <v>540</v>
      </c>
      <c r="Q101" s="16" t="s">
        <v>31</v>
      </c>
      <c r="R101" s="590">
        <v>5.0999999999999996</v>
      </c>
      <c r="S101" s="323"/>
      <c r="T101" s="580"/>
      <c r="U101" s="327" t="s">
        <v>136</v>
      </c>
      <c r="V101" s="586" t="str">
        <f>CONCATENATE("60","g CO² pro kWh ",ROUND(((60.8098095664209  /1000)*AP82)/1000,3)," t CO²")</f>
        <v>60g CO² pro kWh 1,824 t CO²</v>
      </c>
      <c r="W101" s="557" t="str">
        <f>CONCATENATE("560 Netzbezug ", ROUND(((560/1000)*AP82)/1000,3)," t CO²;
0 Gebäude nah erzeugt")</f>
        <v>560 Netzbezug 16,8 t CO²;
0 Gebäude nah erzeugt</v>
      </c>
      <c r="X101" s="583">
        <v>0</v>
      </c>
      <c r="Y101" s="586"/>
      <c r="Z101" s="591"/>
      <c r="AA101" s="546">
        <f t="shared" si="7"/>
        <v>3.2</v>
      </c>
      <c r="AB101" s="584">
        <v>500</v>
      </c>
      <c r="AC101" s="592" t="str">
        <f>CONCATENATE("(0,6kW x 900kWh/kWp)x 0,3€je kWh =",0.6*900*0.3," € im Jahr| ",ROUND(0.6*900*(AB101/1000)/1000,2)," t im Jahr")</f>
        <v>(0,6kW x 900kWh/kWp)x 0,3€je kWh =162 € im Jahr| 0,27 t im Jahr</v>
      </c>
      <c r="AD101" s="549">
        <v>0.3</v>
      </c>
      <c r="AE101" s="10" t="str">
        <f>CONCATENATE(ROUND(RIGHT(AD101,4)*P101,0)," €")</f>
        <v>162 €</v>
      </c>
      <c r="AF101" s="11"/>
      <c r="AG101" s="174"/>
      <c r="AH101" s="539">
        <f t="shared" si="11"/>
        <v>20</v>
      </c>
      <c r="AI101" s="550" t="str">
        <f t="shared" si="4"/>
        <v>50€ im Jahr</v>
      </c>
      <c r="AJ101" s="539" t="s">
        <v>59</v>
      </c>
      <c r="AK101" s="551" t="str">
        <f>CONCATENATE(0," €|",200," €|",ROUND(I101/15,0),"€ ")</f>
        <v xml:space="preserve">0 €|200 €|67€ </v>
      </c>
      <c r="AM101" s="5"/>
      <c r="AN101" s="536"/>
      <c r="AO101" s="3"/>
      <c r="AP101" s="14"/>
    </row>
    <row r="102" spans="1:53" ht="45" customHeight="1">
      <c r="B102" s="325"/>
      <c r="C102" s="593"/>
      <c r="D102" s="533">
        <v>5.2</v>
      </c>
      <c r="E102" s="534" t="s">
        <v>220</v>
      </c>
      <c r="F102" s="534"/>
      <c r="G102" s="535">
        <v>9000</v>
      </c>
      <c r="H102" s="536" t="s">
        <v>46</v>
      </c>
      <c r="I102" s="537">
        <v>10000</v>
      </c>
      <c r="J102" s="538"/>
      <c r="K102" s="548"/>
      <c r="L102" s="539"/>
      <c r="M102" s="539"/>
      <c r="N102" s="1"/>
      <c r="O102" s="539"/>
      <c r="P102" s="43">
        <f>(9.66* 900)</f>
        <v>8694</v>
      </c>
      <c r="Q102" s="16" t="s">
        <v>31</v>
      </c>
      <c r="R102" s="594">
        <v>5.2</v>
      </c>
      <c r="S102" s="323"/>
      <c r="T102" s="580"/>
      <c r="U102" s="327"/>
      <c r="V102" s="586" t="str">
        <f>CONCATENATE("60","g CO² pro kWh ",ROUND(((60.8098095664209  /1000)*AP82)/1000,3)," t CO²")</f>
        <v>60g CO² pro kWh 1,824 t CO²</v>
      </c>
      <c r="W102" s="557" t="str">
        <f>CONCATENATE("560 Netzbezug ", ROUND(((560/1000)*AP82)/1000,3)," t CO²;
0 Gebäude nah erzeugt")</f>
        <v>560 Netzbezug 16,8 t CO²;
0 Gebäude nah erzeugt</v>
      </c>
      <c r="X102" s="583">
        <v>0</v>
      </c>
      <c r="Y102" s="586"/>
      <c r="Z102" s="591"/>
      <c r="AA102" s="546">
        <f t="shared" si="7"/>
        <v>3.2</v>
      </c>
      <c r="AB102" s="584">
        <v>500</v>
      </c>
      <c r="AC102" s="592" t="str">
        <f>CONCATENATE("(9,66kW x 900kWh/kWp) 0,3€ je kWh =",9.66*900*0.3," €| ",ROUND(9.66*900*(AB102/1000)/1000,2)," t")</f>
        <v>(9,66kW x 900kWh/kWp) 0,3€ je kWh =2608,2 €| 4,35 t</v>
      </c>
      <c r="AD102" s="549">
        <v>0.3</v>
      </c>
      <c r="AE102" s="10" t="str">
        <f>CONCATENATE(ROUND(RIGHT(AD102,4)*P102,0)," € 
Abhängig vom Eigenverbrauch!!!")</f>
        <v>2608 € 
Abhängig vom Eigenverbrauch!!!</v>
      </c>
      <c r="AF102" s="11"/>
      <c r="AG102" s="174"/>
      <c r="AH102" s="539">
        <f t="shared" si="11"/>
        <v>20</v>
      </c>
      <c r="AI102" s="550" t="str">
        <f t="shared" si="4"/>
        <v>500€ im Jahr</v>
      </c>
      <c r="AJ102" s="539" t="s">
        <v>59</v>
      </c>
      <c r="AK102" s="551" t="str">
        <f>CONCATENATE(0," €|",200," €|",ROUND(I102/15,0),"€ ")</f>
        <v xml:space="preserve">0 €|200 €|667€ </v>
      </c>
      <c r="AM102" s="5"/>
      <c r="AN102" s="536"/>
      <c r="AO102" s="3"/>
      <c r="AP102" s="14"/>
    </row>
    <row r="103" spans="1:53" ht="57" customHeight="1">
      <c r="B103" s="325"/>
      <c r="C103" s="593"/>
      <c r="D103" s="533">
        <v>5.3</v>
      </c>
      <c r="E103" s="534" t="s">
        <v>444</v>
      </c>
      <c r="F103" s="534"/>
      <c r="G103" s="535">
        <v>9000</v>
      </c>
      <c r="H103" s="536" t="s">
        <v>46</v>
      </c>
      <c r="I103" s="537">
        <v>17000</v>
      </c>
      <c r="J103" s="538"/>
      <c r="K103" s="548"/>
      <c r="L103" s="539"/>
      <c r="M103" s="539"/>
      <c r="N103" s="1"/>
      <c r="O103" s="539"/>
      <c r="P103" s="43"/>
      <c r="Q103" s="16"/>
      <c r="R103" s="590">
        <v>5.3</v>
      </c>
      <c r="S103" s="323"/>
      <c r="T103" s="580"/>
      <c r="U103" s="327"/>
      <c r="V103" s="586" t="str">
        <f>CONCATENATE("60","g CO² pro kWh ",ROUND(((60.8098095664209  /1000)*AP82)/1000,3)," t CO²")</f>
        <v>60g CO² pro kWh 1,824 t CO²</v>
      </c>
      <c r="W103" s="557" t="str">
        <f>CONCATENATE("560 Netzbezug ", ROUND(((560/1000)*AP82)/1000,3)," t CO²;
0 Gebäude nah erzeugt")</f>
        <v>560 Netzbezug 16,8 t CO²;
0 Gebäude nah erzeugt</v>
      </c>
      <c r="X103" s="583">
        <v>0</v>
      </c>
      <c r="Y103" s="586"/>
      <c r="Z103" s="591"/>
      <c r="AA103" s="546">
        <f t="shared" si="7"/>
        <v>3.2</v>
      </c>
      <c r="AB103" s="584">
        <v>500</v>
      </c>
      <c r="AC103" s="592" t="str">
        <f>CONCATENATE("(10kW x 900kWh/kWp) x 0,3€je kWh x 40%Speicher= ",10*900*0.3,"€| ",ROUND(10*900*(AB103/1000)/1000,2)*0.4," t")</f>
        <v>(10kW x 900kWh/kWp) x 0,3€je kWh x 40%Speicher= 2700€| 1,8 t</v>
      </c>
      <c r="AD103" s="549"/>
      <c r="AE103" s="10"/>
      <c r="AF103" s="11"/>
      <c r="AG103" s="174"/>
      <c r="AH103" s="539">
        <f t="shared" si="11"/>
        <v>20</v>
      </c>
      <c r="AI103" s="550" t="str">
        <f t="shared" si="4"/>
        <v>850€ im Jahr</v>
      </c>
      <c r="AJ103" s="539"/>
      <c r="AK103" s="551"/>
      <c r="AM103" s="5"/>
      <c r="AN103" s="536"/>
      <c r="AO103" s="3"/>
      <c r="AP103" s="14"/>
    </row>
    <row r="104" spans="1:53" ht="50.25" customHeight="1" thickBot="1">
      <c r="B104" s="325"/>
      <c r="C104" s="595"/>
      <c r="D104" s="533">
        <v>5.4</v>
      </c>
      <c r="E104" s="534" t="s">
        <v>233</v>
      </c>
      <c r="F104" s="534"/>
      <c r="G104" s="535">
        <v>28000</v>
      </c>
      <c r="H104" s="536" t="s">
        <v>3</v>
      </c>
      <c r="I104" s="537">
        <v>45000</v>
      </c>
      <c r="J104" s="567" t="s">
        <v>45</v>
      </c>
      <c r="K104" s="596" t="str">
        <f>CONCATENATE("20% |",I96*0.8," Förderung nur auf WP!")</f>
        <v>20% |16800 Förderung nur auf WP!</v>
      </c>
      <c r="L104" s="550" t="str">
        <f>CONCATENATE("45% |",I96*0.55,"€ Förderung nur auf WP!")</f>
        <v>45% |11550€ Förderung nur auf WP!</v>
      </c>
      <c r="M104" s="539"/>
      <c r="N104" s="1"/>
      <c r="O104" s="563">
        <v>5</v>
      </c>
      <c r="P104" s="43">
        <f>ROUND($AP$82/O104,0)</f>
        <v>6000</v>
      </c>
      <c r="Q104" s="16" t="s">
        <v>32</v>
      </c>
      <c r="R104" s="594">
        <v>5.4</v>
      </c>
      <c r="S104" s="323"/>
      <c r="T104" s="597"/>
      <c r="U104" s="598" t="s">
        <v>136</v>
      </c>
      <c r="V104" s="599" t="str">
        <f>CONCATENATE("60","g CO² pro kWh ",ROUND(((60.8098095664209  /1000)*AP82)/1000,3)," t CO²")</f>
        <v>60g CO² pro kWh 1,824 t CO²</v>
      </c>
      <c r="W104" s="600" t="str">
        <f>CONCATENATE("560 Netzbezug ", ROUND(((560/1000)*P104)/1000,3)," t CO²;
0 Gebäude nah erzeugt")</f>
        <v>560 Netzbezug 3,36 t CO²;
0 Gebäude nah erzeugt</v>
      </c>
      <c r="X104" s="601">
        <v>0</v>
      </c>
      <c r="Y104" s="599" t="str">
        <f>CONCATENATE("537 Strom Inland ",ROUND(((537/1000)*P104)/1000,3)," t CO²")</f>
        <v>537 Strom Inland 3,222 t CO²</v>
      </c>
      <c r="Z104" s="602"/>
      <c r="AA104" s="546">
        <f t="shared" si="7"/>
        <v>3.2</v>
      </c>
      <c r="AB104" s="584">
        <v>500</v>
      </c>
      <c r="AC104" s="548" t="str">
        <f>CONCATENATE(ROUND((AB104/1000*P104)/1000,2)," t | ",ROUND((((AB104/10000*P104)/100)*$AC$83),0)," € ")</f>
        <v xml:space="preserve">3 t | 600 € </v>
      </c>
      <c r="AD104" s="603">
        <v>0.2</v>
      </c>
      <c r="AE104" s="10" t="str">
        <f>CONCATENATE(ROUND(RIGHT(AD104,4)*P104,0)," € 
Abhängig vom Eigenverbrauch!!!")</f>
        <v>1200 € 
Abhängig vom Eigenverbrauch!!!</v>
      </c>
      <c r="AF104" s="11" t="str">
        <f>IF($AP$81&gt;ROUND((((AB104*P104)/1000)*$AC$83)+RIGHT(AD104,4)*P104,0),"vielleicht Günstiger","vielleicht Teurer")</f>
        <v>vielleicht Teurer</v>
      </c>
      <c r="AG104" s="12">
        <f>IF(AF104=$D$84,1,0)</f>
        <v>0</v>
      </c>
      <c r="AH104" s="539">
        <f t="shared" si="11"/>
        <v>20</v>
      </c>
      <c r="AI104" s="550" t="str">
        <f t="shared" si="4"/>
        <v>2250€ im Jahr</v>
      </c>
      <c r="AJ104" s="539" t="s">
        <v>59</v>
      </c>
      <c r="AK104" s="551" t="str">
        <f>CONCATENATE(0," €|",200," €|",ROUND(I104/15,0),"€ ")</f>
        <v xml:space="preserve">0 €|200 €|3000€ </v>
      </c>
      <c r="AM104" s="5">
        <v>0.05</v>
      </c>
      <c r="AN104" s="536" t="s">
        <v>3</v>
      </c>
      <c r="AO104" s="3">
        <v>0.1</v>
      </c>
      <c r="AP104" s="14" t="str">
        <f>CONCATENATE(,$AP$82*AM104*LEFT($AD104,5)," €| ",,$AP$82*AO104*LEFT($AD104,5)," € || ",$AP$81-($AP$82*AM104*LEFT($AD104,5))," €/a | ",$AP$81-($AP$82*AO104*LEFT($AD104,5))," €/a")</f>
        <v>300 €| 600 € || 5100 €/a | 4800 €/a</v>
      </c>
    </row>
    <row r="105" spans="1:53" ht="83.7" customHeight="1">
      <c r="B105" s="325"/>
      <c r="C105" s="532" t="s">
        <v>214</v>
      </c>
      <c r="D105" s="533">
        <v>6</v>
      </c>
      <c r="E105" s="534" t="s">
        <v>449</v>
      </c>
      <c r="F105" s="534"/>
      <c r="G105" s="535">
        <v>12000</v>
      </c>
      <c r="H105" s="536" t="s">
        <v>3</v>
      </c>
      <c r="I105" s="537">
        <v>14000</v>
      </c>
      <c r="J105" s="562" t="s">
        <v>450</v>
      </c>
      <c r="K105" s="562" t="str">
        <f>CONCATENATE("20% | 
Invest
",I105,"-",I105*0.2,"= 
Rest ",I105*0.8)</f>
        <v>20% | 
Invest
14000-2800= 
Rest 11200</v>
      </c>
      <c r="L105" s="562" t="str">
        <f>CONCATENATE("20% | 
Invest
",I105,"-",I105*0.2,"= 
Rest ",I105*0.8)</f>
        <v>20% | 
Invest
14000-2800= 
Rest 11200</v>
      </c>
      <c r="M105" s="562" t="str">
        <f>CONCATENATE("20% | 
Invest
",I105,"-",I105*0.2,"= 
Rest ",I105*0.8)</f>
        <v>20% | 
Invest
14000-2800= 
Rest 11200</v>
      </c>
      <c r="N105" s="1"/>
      <c r="O105" s="539">
        <v>1.25</v>
      </c>
      <c r="P105" s="43">
        <f>ROUND($AP$82/O105,0)</f>
        <v>24000</v>
      </c>
      <c r="Q105" s="16" t="s">
        <v>31</v>
      </c>
      <c r="R105" s="533">
        <v>6</v>
      </c>
      <c r="S105" s="298"/>
      <c r="T105" s="19"/>
      <c r="U105" s="604">
        <v>0</v>
      </c>
      <c r="V105" s="605" t="str">
        <f>CONCATENATE("35","g CO² pro kWh ",ROUND(((35.8197029641015  /1000)*AP82)/1000,3)," t CO²")</f>
        <v>35g CO² pro kWh 1,075 t CO²</v>
      </c>
      <c r="W105" s="606">
        <v>0</v>
      </c>
      <c r="X105" s="607">
        <v>0</v>
      </c>
      <c r="Y105" s="607">
        <v>0</v>
      </c>
      <c r="Z105" s="608"/>
      <c r="AA105" s="546">
        <f t="shared" si="7"/>
        <v>3.2</v>
      </c>
      <c r="AB105" s="558">
        <v>10</v>
      </c>
      <c r="AC105" s="548" t="str">
        <f>CONCATENATE(ROUND((AB105/1000*P105)/1000,2)," t | ",ROUND((((AB105/10000*P105)/100)*$AC$83),0)," € ")</f>
        <v xml:space="preserve">0,24 t | 48 € </v>
      </c>
      <c r="AD105" s="549" t="str">
        <f>LEFT($AR$81,4)</f>
        <v>0,18</v>
      </c>
      <c r="AE105" s="8" t="str">
        <f>CONCATENATE(ROUND(RIGHT(AD105,4)*P105,0)," € ")</f>
        <v xml:space="preserve">4320 € </v>
      </c>
      <c r="AF105" s="11" t="str">
        <f>IF($AP$81&gt;ROUND((((AB105*P105)/1000)*$AC$83)+RIGHT(AD105,4)*P105,0),"vielleicht Günstiger","vielleicht Teurer")</f>
        <v>vielleicht Teurer</v>
      </c>
      <c r="AG105" s="12">
        <f>IF(AF105=$D$84,1,0)</f>
        <v>0</v>
      </c>
      <c r="AH105" s="539">
        <f t="shared" si="11"/>
        <v>20</v>
      </c>
      <c r="AI105" s="550" t="str">
        <f t="shared" si="4"/>
        <v>700€ im Jahr</v>
      </c>
      <c r="AJ105" s="539" t="s">
        <v>60</v>
      </c>
      <c r="AK105" s="551" t="str">
        <f>CONCATENATE(0," €|",200," €|",ROUND(I105/15,0),"€ ")</f>
        <v xml:space="preserve">0 €|200 €|933€ </v>
      </c>
      <c r="AM105" s="5">
        <v>0.03</v>
      </c>
      <c r="AN105" s="536" t="s">
        <v>3</v>
      </c>
      <c r="AO105" s="3">
        <v>0.1</v>
      </c>
      <c r="AP105" s="14" t="str">
        <f>CONCATENATE(,$AP$82*AM105*LEFT($AD105,5)," €| ",,$AP$82*AO105*LEFT($AD105,5)," € || ",$AP$81-($AP$82*AM105*LEFT($AD105,5))," €/a | ",$AP$81-($AP$82*AO105*LEFT($AD105,5))," €/a")</f>
        <v>162 €| 540 € || 5238 €/a | 4860 €/a</v>
      </c>
    </row>
    <row r="106" spans="1:53" ht="61.2" customHeight="1">
      <c r="C106" s="532" t="s">
        <v>27</v>
      </c>
      <c r="D106" s="533">
        <v>7</v>
      </c>
      <c r="E106" s="534" t="s">
        <v>8</v>
      </c>
      <c r="F106" s="534"/>
      <c r="G106" s="535">
        <v>3000</v>
      </c>
      <c r="H106" s="536" t="s">
        <v>3</v>
      </c>
      <c r="I106" s="537">
        <v>4000</v>
      </c>
      <c r="J106" s="538"/>
      <c r="K106" s="548"/>
      <c r="L106" s="564"/>
      <c r="M106" s="565" t="str">
        <f>CONCATENATE("20% | 
Invest
",I106,"-",I106*0.2,"= 
Rest ",I106*0.8)</f>
        <v>20% | 
Invest
4000-800= 
Rest 3200</v>
      </c>
      <c r="N106" s="1"/>
      <c r="O106" s="539">
        <v>1.1000000000000001</v>
      </c>
      <c r="P106" s="43">
        <f>ROUND($AP$82/O106,0)</f>
        <v>27273</v>
      </c>
      <c r="Q106" s="16" t="s">
        <v>31</v>
      </c>
      <c r="R106" s="533">
        <v>7</v>
      </c>
      <c r="S106" s="298"/>
      <c r="T106" s="173"/>
      <c r="U106" s="609">
        <v>0.3</v>
      </c>
      <c r="V106" s="610" t="str">
        <f>CONCATENATE("260 ","g CO² pro kWh ",ROUND(((260.678431107189   /1000)*AP82)/1000,3)," t CO²")</f>
        <v>260 g CO² pro kWh 7,82 t CO²</v>
      </c>
      <c r="W106" s="611" t="str">
        <f>CONCATENATE("400 FW aus Stein/ Braunkohle ", ROUND(((400/1000)*P106)/1000,3)," t CO²;
300 FW aus Gas/ flüssige Brennstoffe ", ROUND(((300/1000)*P106)/1000,3)," t CO²;
0 FW aus Erneuerbare Brennstoffe?")</f>
        <v>400 FW aus Stein/ Braunkohle 10,909 t CO²;
300 FW aus Gas/ flüssige Brennstoffe 8,182 t CO²;
0 FW aus Erneuerbare Brennstoffe?</v>
      </c>
      <c r="X106" s="612">
        <v>0</v>
      </c>
      <c r="Y106" s="581" t="str">
        <f>CONCATENATE("266 Nah-/Fernwärme ",ROUND(((266/1000)*P106)/1000,3)," t CO²")</f>
        <v>266 Nah-/Fernwärme 7,255 t CO²</v>
      </c>
      <c r="Z106" s="543"/>
      <c r="AA106" s="546">
        <f t="shared" si="7"/>
        <v>3.2</v>
      </c>
      <c r="AB106" s="547">
        <v>92</v>
      </c>
      <c r="AC106" s="548" t="str">
        <f>CONCATENATE(ROUND((AB106/1000*P106)/1000,2)," t | ",ROUND((((AB106/10000*P106)/100)*$AC$83),0)," € ")</f>
        <v xml:space="preserve">2,51 t | 502 € </v>
      </c>
      <c r="AD106" s="613">
        <v>0.08</v>
      </c>
      <c r="AE106" s="8" t="str">
        <f>CONCATENATE(ROUND(RIGHT(AD106,5)*P106,0)," € | ",ROUND(((((AB106/1000)*P106)/1000)*$AC$83)+RIGHT(AD106,4)*P106,0)," €")</f>
        <v>2182 € | 2684 €</v>
      </c>
      <c r="AF106" s="11" t="str">
        <f>IF($AP$81&gt;ROUND((((AB106*P106)/1000)*$AC$83)+RIGHT(AD106,4)*P106,0),"vielleicht Günstiger","vielleicht Teurer")</f>
        <v>vielleicht Teurer</v>
      </c>
      <c r="AG106" s="12">
        <f>IF(AF106=$D$84,1,0)</f>
        <v>0</v>
      </c>
      <c r="AH106" s="539">
        <f t="shared" si="11"/>
        <v>20</v>
      </c>
      <c r="AI106" s="550" t="str">
        <f t="shared" si="4"/>
        <v>200€ im Jahr</v>
      </c>
      <c r="AJ106" s="539" t="s">
        <v>61</v>
      </c>
      <c r="AK106" s="539"/>
      <c r="AM106" s="5">
        <v>0.03</v>
      </c>
      <c r="AN106" s="536" t="s">
        <v>3</v>
      </c>
      <c r="AO106" s="3">
        <v>0.1</v>
      </c>
      <c r="AP106" s="14" t="str">
        <f>CONCATENATE(,$AP$82*AM106*LEFT($AD106,5)," €| ",,$AP$82*AO106*LEFT($AD106,5)," € || ",$AP$81-($AP$82*AM106*LEFT($AD106,5))," €/a | ",$AP$81-($AP$82*AO106*LEFT($AD106,5))," €/a")</f>
        <v>72 €| 240 € || 5328 €/a | 5160 €/a</v>
      </c>
    </row>
    <row r="107" spans="1:53" ht="48.75" customHeight="1">
      <c r="C107" s="532"/>
      <c r="D107" s="533">
        <v>8</v>
      </c>
      <c r="E107" s="534" t="s">
        <v>9</v>
      </c>
      <c r="F107" s="534"/>
      <c r="G107" s="535">
        <v>1000</v>
      </c>
      <c r="H107" s="536" t="s">
        <v>3</v>
      </c>
      <c r="I107" s="537">
        <v>2000</v>
      </c>
      <c r="J107" s="538"/>
      <c r="K107" s="548"/>
      <c r="L107" s="562" t="str">
        <f>CONCATENATE("20% | 
Invest
",I107,"-",I107*0.2,"= 
Rest ",I107*0.8)</f>
        <v>20% | 
Invest
2000-400= 
Rest 1600</v>
      </c>
      <c r="M107" s="562" t="str">
        <f>CONCATENATE("20% | 
Invest
",I107,"-",I107*0.2,"= 
Rest ",I107*0.8)</f>
        <v>20% | 
Invest
2000-400= 
Rest 1600</v>
      </c>
      <c r="N107" s="1"/>
      <c r="O107" s="539">
        <v>1.1000000000000001</v>
      </c>
      <c r="P107" s="43">
        <f>ROUND($AP$82/O107,0)</f>
        <v>27273</v>
      </c>
      <c r="Q107" s="16" t="s">
        <v>31</v>
      </c>
      <c r="R107" s="533">
        <v>8</v>
      </c>
      <c r="S107" s="298"/>
      <c r="T107" s="173"/>
      <c r="U107" s="609"/>
      <c r="V107" s="614"/>
      <c r="W107" s="582"/>
      <c r="X107" s="582"/>
      <c r="Y107" s="614"/>
      <c r="Z107" s="614"/>
      <c r="AA107" s="546">
        <f>($AA$83*$AP$83)/1000</f>
        <v>3.2</v>
      </c>
      <c r="AB107" s="609"/>
      <c r="AC107" s="548"/>
      <c r="AD107" s="549" t="str">
        <f>LEFT($AR$81,4)</f>
        <v>0,18</v>
      </c>
      <c r="AE107" s="8" t="str">
        <f>CONCATENATE(ROUND(RIGHT(AD107,4)*P107,0)," € | ",ROUND(((((AB107/1000)*P107)/1000)*$AC$83)+RIGHT(AD107,4)*P107,0)," €")</f>
        <v>4909 € | 4909 €</v>
      </c>
      <c r="AF107" s="11" t="str">
        <f>IF($AP$81&gt;ROUND((((AB107*P107)/1000)*$AC$83)+RIGHT(AD107,4)*P107,0),"vielleicht Günstiger","vielleicht Teurer")</f>
        <v>vielleicht Günstiger</v>
      </c>
      <c r="AG107" s="12">
        <f>IF(AF107=$D$84,1,0)</f>
        <v>1</v>
      </c>
      <c r="AH107" s="539">
        <f t="shared" si="11"/>
        <v>20</v>
      </c>
      <c r="AI107" s="550" t="str">
        <f t="shared" si="4"/>
        <v>100€ im Jahr</v>
      </c>
      <c r="AJ107" s="539"/>
      <c r="AK107" s="539"/>
      <c r="AM107" s="5">
        <v>0.03</v>
      </c>
      <c r="AN107" s="536" t="s">
        <v>3</v>
      </c>
      <c r="AO107" s="3">
        <v>0.1</v>
      </c>
      <c r="AP107" s="14" t="str">
        <f>CONCATENATE(,$AP$82*AM107*LEFT($AD107,5)," €| ",,$AP$82*AO107*LEFT($AD107,5)," € || ",$AP$81-($AP$82*AM107*LEFT($AD107,5))," €/a | ",$AP$81-($AP$82*AO107*LEFT($AD107,5))," €/a")</f>
        <v>162 €| 540 € || 5238 €/a | 4860 €/a</v>
      </c>
    </row>
    <row r="108" spans="1:53" s="263" customFormat="1" ht="48.75" customHeight="1" thickBot="1">
      <c r="A108" s="271"/>
      <c r="C108" s="615" t="s">
        <v>408</v>
      </c>
      <c r="D108" s="616">
        <v>9</v>
      </c>
      <c r="E108" s="617" t="s">
        <v>427</v>
      </c>
      <c r="F108" s="617"/>
      <c r="G108" s="618">
        <v>3</v>
      </c>
      <c r="H108" s="619" t="s">
        <v>623</v>
      </c>
      <c r="I108" s="620">
        <v>5</v>
      </c>
      <c r="J108" s="621"/>
      <c r="K108" s="622"/>
      <c r="L108" s="622"/>
      <c r="M108" s="622"/>
      <c r="N108" s="1"/>
      <c r="O108" s="623"/>
      <c r="P108" s="264">
        <f>ROUND($AP$82/((42*2000)/1000)*(2000/4.5),0)</f>
        <v>158730</v>
      </c>
      <c r="Q108" s="265" t="s">
        <v>426</v>
      </c>
      <c r="R108" s="616">
        <v>9</v>
      </c>
      <c r="S108" s="266"/>
      <c r="T108" s="267"/>
      <c r="U108" s="624"/>
      <c r="V108" s="625"/>
      <c r="W108" s="625"/>
      <c r="X108" s="625"/>
      <c r="Y108" s="625"/>
      <c r="Z108" s="626"/>
      <c r="AA108" s="546">
        <f t="shared" si="7"/>
        <v>3.2</v>
      </c>
      <c r="AB108" s="624"/>
      <c r="AC108" s="627"/>
      <c r="AD108" s="628">
        <v>2.99</v>
      </c>
      <c r="AE108" s="268">
        <f>ROUND($AP$82/(42*2000/1000)*(2000/4.5)/100*3,0)</f>
        <v>4762</v>
      </c>
      <c r="AF108" s="269" t="str">
        <f>IF($AP$81&gt;ROUND((((AB108*P108)/1000)*$AC$83)+RIGHT(AD108,4)*P108,0),"vielleicht Günstiger","vielleicht Teurer")</f>
        <v>vielleicht Teurer</v>
      </c>
      <c r="AG108" s="270">
        <f>IF(AF108=$D$84,1,0)</f>
        <v>0</v>
      </c>
      <c r="AH108" s="629"/>
      <c r="AI108" s="630"/>
      <c r="AJ108" s="629"/>
      <c r="AK108" s="629"/>
      <c r="AL108" s="271"/>
      <c r="AM108" s="272"/>
      <c r="AN108" s="619"/>
      <c r="AO108" s="273"/>
      <c r="AP108" s="274"/>
    </row>
    <row r="109" spans="1:53" ht="53.7" customHeight="1" thickTop="1">
      <c r="C109" s="559" t="s">
        <v>615</v>
      </c>
      <c r="D109" s="631" t="s">
        <v>566</v>
      </c>
      <c r="E109" s="632" t="str">
        <f>CONCATENATE(" Diesel mit ",G109," kWh je Liter")</f>
        <v xml:space="preserve"> Diesel mit 9,8 kWh je Liter</v>
      </c>
      <c r="F109" s="632"/>
      <c r="G109" s="633">
        <v>9.8000000000000007</v>
      </c>
      <c r="H109" s="634"/>
      <c r="I109" s="634"/>
      <c r="J109" s="283">
        <v>60</v>
      </c>
      <c r="K109" s="284" t="s">
        <v>452</v>
      </c>
      <c r="L109" s="635"/>
      <c r="M109" s="285">
        <f>J109*J110*12</f>
        <v>1440</v>
      </c>
      <c r="N109" s="286" t="s">
        <v>614</v>
      </c>
      <c r="O109" s="636"/>
      <c r="P109" s="282">
        <f>G109*$M$109</f>
        <v>14112.000000000002</v>
      </c>
      <c r="Q109" s="631" t="s">
        <v>566</v>
      </c>
      <c r="R109" s="281">
        <v>5</v>
      </c>
      <c r="S109" s="331" t="str">
        <f>CONCATENATE("Liter im Schnitt auf 100km 
sind ",ROUND(($M$111/100)*R109,0)," Liter; ",ROUND((AB109/1000*(($M$111/100)*R109)*G109)/1000,2)," t bei ",AB109, "g CO2")</f>
        <v>Liter im Schnitt auf 100km 
sind 900 Liter; 2,73 t bei 310g CO2</v>
      </c>
      <c r="T109" s="331"/>
      <c r="U109" s="331"/>
      <c r="V109" s="637"/>
      <c r="W109" s="544" t="str">
        <f>CONCATENATE("310 gCO² Fossil ", ROUND((310/1000)*((M111/100)*R109*G109)/1000,3)," t CO²;
210 Bio ", ROUND((210/1000)*((M111/100)*R109*G109)/1000,3)," t CO²;
105 Bio erzeugt ", ROUND((105/1000)*((M111/100)*R109*G109)/1000,3)," t CO²")</f>
        <v>310 gCO² Fossil 2,734 t CO²;
210 Bio 1,852 t CO²;
105 Bio erzeugt 0,926 t CO²</v>
      </c>
      <c r="X109" s="543" t="str">
        <f>CONCATENATE("0,002676284 tCO² je l Heizöl zu Heizzwecken(Heizöl S) ",ROUND(((0.002676284)*P109)/10,3)," t CO²")</f>
        <v>0,002676284 tCO² je l Heizöl zu Heizzwecken(Heizöl S) 3,777 t CO²</v>
      </c>
      <c r="Y109" s="614"/>
      <c r="Z109" s="614"/>
      <c r="AA109" s="614"/>
      <c r="AB109" s="638">
        <v>310</v>
      </c>
      <c r="AC109" s="639" t="str">
        <f t="shared" ref="AC109:AC114" si="16">CONCATENATE(ROUND((AB109/1000)*(($M$111/100)*R109*G109)/1000,2)," t | ",ROUND(((AB109/1000)*(($M$111/100)*R109*G109)/1000)*$AC$83,0)," € ")</f>
        <v xml:space="preserve">2,73 t | 547 € </v>
      </c>
      <c r="AD109" s="640">
        <v>1.8</v>
      </c>
      <c r="AE109" s="275">
        <f t="shared" ref="AE109:AE114" si="17">($M$111/100)*R109*AD109</f>
        <v>1620</v>
      </c>
      <c r="AF109" s="276">
        <f t="shared" ref="AF109:AF114" si="18">ROUND((((AB109/10000*P109)/100)*$AC$83),0)+AE109</f>
        <v>2495</v>
      </c>
      <c r="AG109" s="641">
        <f t="shared" ref="AG109:AG114" si="19">ROUND((AB109/1000)*(($M$111/100)*R109*G109)/1000,2)</f>
        <v>2.73</v>
      </c>
      <c r="AH109" s="641"/>
      <c r="AI109" s="641"/>
      <c r="AJ109" s="642">
        <f>AF109/900</f>
        <v>2.7722222222222221</v>
      </c>
      <c r="AK109" s="643"/>
      <c r="AM109" s="262"/>
      <c r="AN109" s="552"/>
      <c r="AO109" s="2"/>
      <c r="AP109" s="14"/>
    </row>
    <row r="110" spans="1:53" ht="53.7" customHeight="1">
      <c r="C110" s="559"/>
      <c r="D110" s="533" t="s">
        <v>572</v>
      </c>
      <c r="E110" s="632" t="str">
        <f>CONCATENATE(" Benzin mit ",G110," kWh je Liter")</f>
        <v xml:space="preserve"> Benzin mit 8,6 kWh je Liter</v>
      </c>
      <c r="F110" s="632"/>
      <c r="G110" s="644">
        <v>8.6</v>
      </c>
      <c r="H110" s="645"/>
      <c r="I110" s="646"/>
      <c r="J110" s="287">
        <v>2</v>
      </c>
      <c r="K110" s="261" t="s">
        <v>616</v>
      </c>
      <c r="L110" s="174"/>
      <c r="M110" s="292">
        <f>ROUND(((M109/J111)*100)/12,0)</f>
        <v>1500</v>
      </c>
      <c r="N110" s="329" t="str">
        <f>CONCATENATE("km im Monat (km am Werktag (20Tage im Monat)) 
",ROUND(M110/20,0)," km am Tag")</f>
        <v>km im Monat (km am Werktag (20Tage im Monat)) 
75 km am Tag</v>
      </c>
      <c r="O110" s="330"/>
      <c r="P110" s="282">
        <f>G110*$M$109</f>
        <v>12384</v>
      </c>
      <c r="Q110" s="533" t="s">
        <v>572</v>
      </c>
      <c r="R110" s="278">
        <v>6</v>
      </c>
      <c r="S110" s="332" t="str">
        <f>CONCATENATE("Liter im Schnitt auf 100km 
sind ",ROUND(($M$111/100)*R110,0)," Liter; ",ROUND((AB110/1000*(($M$111/100)*R110)*G110)/1000,2)," t bei ",AB110, "g CO2")</f>
        <v>Liter im Schnitt auf 100km 
sind 1080 Liter; 2,47 t bei 266g CO2</v>
      </c>
      <c r="T110" s="332"/>
      <c r="U110" s="332"/>
      <c r="V110" s="647"/>
      <c r="W110" s="544" t="str">
        <f>CONCATENATE("310 Fossil ", ROUND((310/1000)*((M111/100)*R110*G110)/1000,3)," t CO²;
210 Bio ", ROUND((210/1000)*((M111/100)*R110*G110)/1000,3)," t CO²;
105 Bio erzeugt ", ROUND((105/1000)*((M111/100)*R110*G110)/1000,3)," t CO²")</f>
        <v>310 Fossil 2,879 t CO²;
210 Bio 1,95 t CO²;
105 Bio erzeugt 0,975 t CO²</v>
      </c>
      <c r="X110" s="543" t="str">
        <f>CONCATENATE("0,002676284 gCO² je l Heizöl zu Heizzwecken(Heizöl S) ",ROUND(((0.002676284)*P110)/10,3)," t CO²")</f>
        <v>0,002676284 gCO² je l Heizöl zu Heizzwecken(Heizöl S) 3,314 t CO²</v>
      </c>
      <c r="Y110" s="648"/>
      <c r="Z110" s="648"/>
      <c r="AA110" s="648"/>
      <c r="AB110" s="649">
        <v>266</v>
      </c>
      <c r="AC110" s="639" t="str">
        <f t="shared" si="16"/>
        <v xml:space="preserve">2,47 t | 494 € </v>
      </c>
      <c r="AD110" s="640">
        <v>1.5</v>
      </c>
      <c r="AE110" s="275">
        <f t="shared" si="17"/>
        <v>1620</v>
      </c>
      <c r="AF110" s="277">
        <f t="shared" si="18"/>
        <v>2279</v>
      </c>
      <c r="AG110" s="650">
        <f t="shared" si="19"/>
        <v>2.4700000000000002</v>
      </c>
      <c r="AH110" s="650"/>
      <c r="AI110" s="650"/>
      <c r="AJ110" s="539"/>
      <c r="AK110" s="539"/>
      <c r="AM110" s="5"/>
      <c r="AN110" s="536"/>
      <c r="AO110" s="3"/>
      <c r="AP110" s="14"/>
    </row>
    <row r="111" spans="1:53" ht="53.7" customHeight="1" thickBot="1">
      <c r="C111" s="559"/>
      <c r="D111" s="533" t="s">
        <v>575</v>
      </c>
      <c r="E111" s="632" t="str">
        <f>CONCATENATE("Flüssiggas (LPG) ",G111," kWh je Kilo (Butan/Propan oft aus aus Erdölrafinierung)")</f>
        <v>Flüssiggas (LPG) 6,8 kWh je Kilo (Butan/Propan oft aus aus Erdölrafinierung)</v>
      </c>
      <c r="F111" s="632"/>
      <c r="G111" s="644">
        <v>6.8</v>
      </c>
      <c r="H111" s="645"/>
      <c r="I111" s="646"/>
      <c r="J111" s="288">
        <v>8</v>
      </c>
      <c r="K111" s="289" t="str">
        <f>CONCATENATE("l im Schnitt auf 100km")</f>
        <v>l im Schnitt auf 100km</v>
      </c>
      <c r="L111" s="651"/>
      <c r="M111" s="290">
        <f>ROUND((M109/J111)*100,0)</f>
        <v>18000</v>
      </c>
      <c r="N111" s="291" t="s">
        <v>453</v>
      </c>
      <c r="O111" s="652"/>
      <c r="P111" s="282">
        <f>G111*$M$109</f>
        <v>9792</v>
      </c>
      <c r="Q111" s="533" t="s">
        <v>575</v>
      </c>
      <c r="R111" s="278">
        <v>9</v>
      </c>
      <c r="S111" s="332" t="str">
        <f>CONCATENATE("Liter im Schnitt auf 100km 
sind ",ROUND(($M$111/100)*R111,0)," Liter; ",ROUND((AB111/1000*(($M$111/100)*R111)*G111)/1000,2)," t bei ",AB111, "g CO2")</f>
        <v>Liter im Schnitt auf 100km 
sind 1620 Liter; 2,97 t bei 270g CO2</v>
      </c>
      <c r="T111" s="332"/>
      <c r="U111" s="332"/>
      <c r="V111" s="647"/>
      <c r="W111" s="557" t="str">
        <f>CONCATENATE("240  Erdgas ", ROUND((240/1000)*((M111/100)*R111*G111)/1000,3)," t CO²;
270 Flüssig ", ROUND((270/1000)*((M111/100)*R111*G111)/1000,3)," t CO²;
140 Bio ", ROUND((140/1000)*((M111/100)*R111*G111)/1000,3)," t CO²;
75 Bio erzeugt ", ROUND((75/1000)*((M111/100)*R111*G111)/1000,3)," t CO²;
180 Biogenes Flüssiggas ", ROUND((180/1000)*((M111/100)*R111*G111)/1000,3)," t CO²")</f>
        <v>240  Erdgas 2,644 t CO²;
270 Flüssig 2,974 t CO²;
140 Bio 1,542 t CO²;
75 Bio erzeugt 0,826 t CO²;
180 Biogenes Flüssiggas 1,983 t CO²</v>
      </c>
      <c r="X111" s="543" t="str">
        <f>CONCATENATE("182 gCO² Erdgas, verflüssigt ",ROUND(((182.0448/1000)*P111)/1000,3)," t CO²")</f>
        <v>182 gCO² Erdgas, verflüssigt 1,783 t CO²</v>
      </c>
      <c r="Y111" s="648"/>
      <c r="Z111" s="648"/>
      <c r="AA111" s="648"/>
      <c r="AB111" s="649">
        <v>270</v>
      </c>
      <c r="AC111" s="639" t="str">
        <f t="shared" si="16"/>
        <v xml:space="preserve">2,97 t | 595 € </v>
      </c>
      <c r="AD111" s="640">
        <v>1.1000000000000001</v>
      </c>
      <c r="AE111" s="275">
        <f t="shared" si="17"/>
        <v>1782.0000000000002</v>
      </c>
      <c r="AF111" s="277">
        <f t="shared" si="18"/>
        <v>2311</v>
      </c>
      <c r="AG111" s="650">
        <f t="shared" si="19"/>
        <v>2.97</v>
      </c>
      <c r="AH111" s="650"/>
      <c r="AI111" s="650"/>
      <c r="AJ111" s="539"/>
      <c r="AK111" s="539"/>
      <c r="AM111" s="5"/>
      <c r="AN111" s="536"/>
      <c r="AO111" s="3"/>
      <c r="AP111" s="14"/>
    </row>
    <row r="112" spans="1:53" ht="53.7" customHeight="1">
      <c r="C112" s="559"/>
      <c r="D112" s="533" t="s">
        <v>612</v>
      </c>
      <c r="E112" s="632" t="str">
        <f>CONCATENATE("Erdgas/CNG ",G112," kWh je Kilo                 (sehr oft aus Bio-Methan)")</f>
        <v>Erdgas/CNG 13,3 kWh je Kilo                 (sehr oft aus Bio-Methan)</v>
      </c>
      <c r="F112" s="632"/>
      <c r="G112" s="644">
        <v>13.3</v>
      </c>
      <c r="H112" s="645"/>
      <c r="I112" s="646"/>
      <c r="N112" s="1"/>
      <c r="O112" s="181"/>
      <c r="P112" s="279">
        <f>G112*$M$109</f>
        <v>19152</v>
      </c>
      <c r="Q112" s="533" t="s">
        <v>612</v>
      </c>
      <c r="R112" s="278">
        <v>5</v>
      </c>
      <c r="S112" s="332" t="str">
        <f>CONCATENATE("Liter im Schnitt auf 100km 
sind ",ROUND(($M$111/100)*R112,0)," kg; ",ROUND((AB112/1000*(($M$111/100)*R112)*G112)/1000,2)," t bei ",AB112, "g CO2")</f>
        <v>Liter im Schnitt auf 100km 
sind 900 kg; 0,9 t bei 75g CO2</v>
      </c>
      <c r="T112" s="332"/>
      <c r="U112" s="332"/>
      <c r="V112" s="647"/>
      <c r="W112" s="557" t="str">
        <f>CONCATENATE("240  Erdgas ", ROUND((240/1000)*((M111/100)*R112*G112)/1000,3)," t CO²;
270 Flüssig ", ROUND((270/1000)*((M111/100)*R112*G112)/1000,3)," t CO²;
140 Bio ", ROUND((140/1000)*((M111/100)*R112*G112)/1000,3)," t CO²;
75 Bio erzeugt ", ROUND((75/1000)*((M111/100)*R112*G112)/1000,3)," t CO²;
180 Biogenes Flüssiggas ", ROUND((180/1000)*((M111/100)*R112*G112)/1000,3)," t CO²")</f>
        <v>240  Erdgas 2,873 t CO²;
270 Flüssig 3,232 t CO²;
140 Bio 1,676 t CO²;
75 Bio erzeugt 0,898 t CO²;
180 Biogenes Flüssiggas 2,155 t CO²</v>
      </c>
      <c r="X112" s="543" t="str">
        <f>CONCATENATE("182 Erdgas, verflüssigt ",ROUND(((182.0448/1000)*P112)/1000,3)," t CO²")</f>
        <v>182 Erdgas, verflüssigt 3,487 t CO²</v>
      </c>
      <c r="Y112" s="648"/>
      <c r="Z112" s="648"/>
      <c r="AA112" s="648"/>
      <c r="AB112" s="649">
        <v>75</v>
      </c>
      <c r="AC112" s="639" t="str">
        <f t="shared" si="16"/>
        <v xml:space="preserve">0,9 t | 180 € </v>
      </c>
      <c r="AD112" s="640">
        <v>0.8</v>
      </c>
      <c r="AE112" s="275">
        <f t="shared" si="17"/>
        <v>720</v>
      </c>
      <c r="AF112" s="277">
        <f t="shared" si="18"/>
        <v>1007</v>
      </c>
      <c r="AG112" s="650">
        <f t="shared" si="19"/>
        <v>0.9</v>
      </c>
      <c r="AH112" s="650"/>
      <c r="AI112" s="650"/>
      <c r="AJ112" s="539"/>
      <c r="AK112" s="539"/>
      <c r="AM112" s="5"/>
      <c r="AN112" s="536"/>
      <c r="AO112" s="3"/>
      <c r="AP112" s="14"/>
      <c r="AQ112" s="295" t="s">
        <v>619</v>
      </c>
    </row>
    <row r="113" spans="3:71" ht="53.7" customHeight="1">
      <c r="C113" s="559"/>
      <c r="D113" s="533" t="s">
        <v>613</v>
      </c>
      <c r="E113" s="632" t="s">
        <v>618</v>
      </c>
      <c r="F113" s="632"/>
      <c r="G113" s="644">
        <v>33</v>
      </c>
      <c r="H113" s="645"/>
      <c r="I113" s="646"/>
      <c r="N113" s="1"/>
      <c r="O113" s="181"/>
      <c r="P113" s="279"/>
      <c r="Q113" s="533" t="s">
        <v>613</v>
      </c>
      <c r="R113" s="278">
        <v>1</v>
      </c>
      <c r="S113" s="332" t="str">
        <f>CONCATENATE("Liter im Schnitt auf 100km 
sind ",ROUND(($M$111/100)*R113,0)," kg; ",ROUND((AB113/1000*(($M$111/100)*R113)*G113)/1000,2)," t bei ",AB113, "g CO2")</f>
        <v>Liter im Schnitt auf 100km 
sind 180 kg; 1,78 t bei 300g CO2</v>
      </c>
      <c r="T113" s="332"/>
      <c r="U113" s="332"/>
      <c r="V113" s="647"/>
      <c r="W113" s="557"/>
      <c r="X113" s="543"/>
      <c r="Y113" s="648"/>
      <c r="Z113" s="648"/>
      <c r="AA113" s="648"/>
      <c r="AB113" s="649">
        <v>300</v>
      </c>
      <c r="AC113" s="639" t="str">
        <f t="shared" si="16"/>
        <v xml:space="preserve">1,78 t | 356 € </v>
      </c>
      <c r="AD113" s="653">
        <v>10</v>
      </c>
      <c r="AE113" s="275">
        <f t="shared" si="17"/>
        <v>1800</v>
      </c>
      <c r="AF113" s="277">
        <f t="shared" si="18"/>
        <v>1800</v>
      </c>
      <c r="AG113" s="650">
        <f t="shared" si="19"/>
        <v>1.78</v>
      </c>
      <c r="AH113" s="650"/>
      <c r="AI113" s="650"/>
      <c r="AJ113" s="539"/>
      <c r="AK113" s="539"/>
      <c r="AM113" s="5"/>
      <c r="AN113" s="536"/>
      <c r="AO113" s="3"/>
      <c r="AP113" s="14"/>
      <c r="AQ113" s="293" t="s">
        <v>620</v>
      </c>
    </row>
    <row r="114" spans="3:71" ht="53.7" customHeight="1">
      <c r="C114" s="566"/>
      <c r="D114" s="533" t="s">
        <v>617</v>
      </c>
      <c r="E114" s="632" t="s">
        <v>7</v>
      </c>
      <c r="F114" s="632"/>
      <c r="G114" s="644">
        <v>1</v>
      </c>
      <c r="H114" s="188"/>
      <c r="I114" s="654"/>
      <c r="J114" s="188"/>
      <c r="K114" s="188"/>
      <c r="L114" s="188"/>
      <c r="M114" s="188"/>
      <c r="N114" s="188"/>
      <c r="O114" s="189"/>
      <c r="P114" s="280">
        <f>(M111/100)*R114</f>
        <v>2520</v>
      </c>
      <c r="Q114" s="533" t="s">
        <v>617</v>
      </c>
      <c r="R114" s="278">
        <v>14</v>
      </c>
      <c r="S114" s="332" t="str">
        <f>CONCATENATE("Liter im Schnitt auf 100km 
sind ",ROUND(($M$111/100)*R114,0)," kWh; ",ROUND((AB114/1000*(($M$111/100)*R114)*G114)/1000,2)," t bei ",AB114, "g CO2")</f>
        <v>Liter im Schnitt auf 100km 
sind 2520 kWh; 1,41 t bei 560g CO2</v>
      </c>
      <c r="T114" s="332"/>
      <c r="U114" s="332"/>
      <c r="V114" s="647"/>
      <c r="W114" s="557" t="str">
        <f>CONCATENATE("560 Netzbezug ", ROUND((560/1000)*((M111/100)*R114*G114)/1000,3)," t CO²;
0 Gebäude nah erzeugt")</f>
        <v>560 Netzbezug 1,411 t CO²;
0 Gebäude nah erzeugt</v>
      </c>
      <c r="X114" s="648">
        <v>0</v>
      </c>
      <c r="Y114" s="648"/>
      <c r="Z114" s="648"/>
      <c r="AA114" s="648"/>
      <c r="AB114" s="649">
        <v>560</v>
      </c>
      <c r="AC114" s="639" t="str">
        <f t="shared" si="16"/>
        <v xml:space="preserve">1,41 t | 282 € </v>
      </c>
      <c r="AD114" s="655">
        <v>0.25</v>
      </c>
      <c r="AE114" s="275">
        <f t="shared" si="17"/>
        <v>630</v>
      </c>
      <c r="AF114" s="277">
        <f t="shared" si="18"/>
        <v>912</v>
      </c>
      <c r="AG114" s="650">
        <f t="shared" si="19"/>
        <v>1.41</v>
      </c>
      <c r="AH114" s="650"/>
      <c r="AI114" s="650"/>
      <c r="AJ114" s="539"/>
      <c r="AK114" s="539"/>
      <c r="AM114" s="5"/>
      <c r="AN114" s="536"/>
      <c r="AO114" s="3"/>
      <c r="AP114" s="14"/>
    </row>
    <row r="115" spans="3:71" ht="15">
      <c r="C115" s="1" t="s">
        <v>11</v>
      </c>
      <c r="N115" s="1"/>
      <c r="R115" s="17"/>
    </row>
    <row r="116" spans="3:71" ht="15">
      <c r="N116" s="1"/>
      <c r="R116" s="17"/>
    </row>
    <row r="117" spans="3:71">
      <c r="C117" s="1" t="s">
        <v>569</v>
      </c>
    </row>
    <row r="118" spans="3:71" ht="102.3" customHeight="1">
      <c r="C118" s="1" t="s">
        <v>567</v>
      </c>
      <c r="D118" s="533" t="s">
        <v>566</v>
      </c>
      <c r="E118" s="315" t="s">
        <v>568</v>
      </c>
      <c r="F118" s="315"/>
      <c r="AG118" s="6"/>
      <c r="AH118" s="6"/>
      <c r="AI118" s="6"/>
      <c r="AL118" s="1"/>
    </row>
    <row r="119" spans="3:71" ht="102.3" customHeight="1">
      <c r="C119" s="1" t="s">
        <v>571</v>
      </c>
      <c r="D119" s="533" t="s">
        <v>572</v>
      </c>
      <c r="E119" s="315" t="s">
        <v>570</v>
      </c>
      <c r="F119" s="315"/>
      <c r="AG119" s="6"/>
      <c r="AH119" s="6"/>
      <c r="AI119" s="6"/>
    </row>
    <row r="120" spans="3:71" ht="50.1" customHeight="1">
      <c r="C120" s="1" t="s">
        <v>574</v>
      </c>
      <c r="D120" s="533" t="s">
        <v>575</v>
      </c>
      <c r="E120" s="315" t="s">
        <v>573</v>
      </c>
      <c r="F120" s="315"/>
      <c r="AG120" s="6"/>
      <c r="AH120" s="6"/>
      <c r="AI120" s="6"/>
      <c r="AM120" s="6"/>
    </row>
    <row r="122" spans="3:71">
      <c r="D122" s="183"/>
      <c r="E122" s="256"/>
      <c r="F122" s="256" t="s">
        <v>609</v>
      </c>
      <c r="G122" s="259">
        <v>40</v>
      </c>
      <c r="H122" s="296"/>
      <c r="I122" s="296"/>
      <c r="J122" s="296"/>
      <c r="K122" s="296"/>
      <c r="L122" s="296"/>
      <c r="M122" s="296"/>
      <c r="N122" s="296"/>
      <c r="O122" s="296"/>
      <c r="AK122" s="6"/>
      <c r="AV122"/>
      <c r="AW122"/>
      <c r="AX122"/>
      <c r="AY122"/>
      <c r="AZ122" s="15"/>
      <c r="BA122"/>
      <c r="BB122" s="15"/>
      <c r="BC122"/>
      <c r="BD122" s="15"/>
      <c r="BE122"/>
      <c r="BF122" s="15"/>
      <c r="BG122"/>
      <c r="BH122" s="15"/>
      <c r="BI122"/>
      <c r="BJ122" s="15"/>
      <c r="BK122"/>
      <c r="BL122" s="15"/>
      <c r="BM122"/>
      <c r="BN122" s="15"/>
      <c r="BO122"/>
      <c r="BP122" s="15"/>
      <c r="BQ122"/>
      <c r="BR122" s="15"/>
      <c r="BS122"/>
    </row>
    <row r="123" spans="3:71" ht="13.5" customHeight="1">
      <c r="E123" s="296"/>
      <c r="F123" s="296" t="s">
        <v>610</v>
      </c>
      <c r="G123" s="656">
        <v>9</v>
      </c>
      <c r="H123" s="296"/>
      <c r="I123" s="296"/>
      <c r="J123" s="296"/>
      <c r="K123" s="296"/>
      <c r="L123" s="296"/>
      <c r="M123" s="296"/>
      <c r="N123" s="296"/>
      <c r="O123" s="296"/>
      <c r="U123" s="6"/>
      <c r="V123" s="6"/>
      <c r="W123" s="6"/>
      <c r="X123" s="6"/>
      <c r="Y123" s="6"/>
      <c r="Z123" s="6"/>
      <c r="AA123" s="6"/>
      <c r="AB123" s="6"/>
      <c r="AK123" s="6"/>
      <c r="AV123" s="15" t="s">
        <v>226</v>
      </c>
      <c r="AW123" s="46">
        <v>55</v>
      </c>
      <c r="AX123" s="1" t="s">
        <v>206</v>
      </c>
      <c r="AY123"/>
      <c r="AZ123" s="67" t="s">
        <v>234</v>
      </c>
      <c r="BA123"/>
      <c r="BB123" s="15"/>
      <c r="BC123"/>
      <c r="BD123" s="15"/>
      <c r="BE123"/>
      <c r="BF123" s="15"/>
      <c r="BG123"/>
      <c r="BH123" s="15"/>
      <c r="BI123"/>
      <c r="BJ123" s="15"/>
      <c r="BK123"/>
      <c r="BL123" s="15"/>
      <c r="BM123"/>
      <c r="BN123" s="15"/>
      <c r="BO123"/>
      <c r="BP123" s="15"/>
      <c r="BQ123"/>
      <c r="BR123" s="15"/>
      <c r="BS123"/>
    </row>
    <row r="124" spans="3:71" ht="13.5" customHeight="1">
      <c r="D124" s="188"/>
      <c r="E124" s="257"/>
      <c r="F124" s="257" t="s">
        <v>578</v>
      </c>
      <c r="G124" s="257">
        <f>ROUND((G122/100)^2/4*PI()*G123,3)</f>
        <v>1.131</v>
      </c>
      <c r="H124" s="296"/>
      <c r="I124" s="296" t="s">
        <v>611</v>
      </c>
      <c r="J124" s="296">
        <f>(1/3)*((G122/100)/2)^2*PI()*G123</f>
        <v>0.37699111843077526</v>
      </c>
      <c r="K124" s="296"/>
      <c r="L124" s="296"/>
      <c r="M124" s="296"/>
      <c r="N124" s="296"/>
      <c r="O124" s="296"/>
      <c r="U124" s="6"/>
      <c r="V124" s="6"/>
      <c r="W124" s="6"/>
      <c r="X124" s="6"/>
      <c r="Y124" s="6"/>
      <c r="Z124" s="6"/>
      <c r="AA124" s="6"/>
      <c r="AK124" s="6"/>
      <c r="AV124" s="15" t="s">
        <v>227</v>
      </c>
      <c r="AW124" s="46">
        <v>100</v>
      </c>
      <c r="AX124" s="1" t="s">
        <v>206</v>
      </c>
      <c r="AY124"/>
      <c r="AZ124" s="68" t="s">
        <v>235</v>
      </c>
      <c r="BA124"/>
      <c r="BB124" s="15"/>
      <c r="BC124"/>
      <c r="BD124" s="15"/>
      <c r="BE124"/>
      <c r="BF124" s="15"/>
      <c r="BG124"/>
      <c r="BH124" s="15"/>
      <c r="BI124"/>
      <c r="BJ124" s="15"/>
      <c r="BK124"/>
      <c r="BL124" s="15"/>
      <c r="BM124"/>
      <c r="BN124" s="15"/>
      <c r="BO124"/>
      <c r="BP124" s="15"/>
      <c r="BQ124"/>
      <c r="BR124" s="15"/>
      <c r="BS124"/>
    </row>
    <row r="125" spans="3:71" ht="13.5" customHeight="1">
      <c r="E125" s="328" t="s">
        <v>602</v>
      </c>
      <c r="F125" s="328"/>
      <c r="G125" s="260">
        <f>G124</f>
        <v>1.131</v>
      </c>
      <c r="H125" s="296"/>
      <c r="I125" s="296"/>
      <c r="J125" s="296"/>
      <c r="K125" s="296"/>
      <c r="L125" s="296"/>
      <c r="M125" s="296"/>
      <c r="N125" s="296"/>
      <c r="O125" s="296"/>
      <c r="U125" s="6"/>
      <c r="V125" s="6"/>
      <c r="W125" s="6"/>
      <c r="X125" s="6"/>
      <c r="Y125" s="6"/>
      <c r="Z125" s="6"/>
      <c r="AA125" s="6"/>
      <c r="AV125"/>
      <c r="AW125"/>
      <c r="AX125"/>
      <c r="AY125"/>
      <c r="AZ125" s="15"/>
      <c r="BA125"/>
      <c r="BB125" s="15"/>
      <c r="BC125"/>
      <c r="BD125" s="15"/>
      <c r="BE125"/>
      <c r="BF125" s="15"/>
      <c r="BG125"/>
      <c r="BH125" s="15"/>
      <c r="BI125"/>
      <c r="BJ125" s="15"/>
      <c r="BK125"/>
      <c r="BL125" s="15"/>
      <c r="BM125"/>
      <c r="BN125" s="15"/>
      <c r="BO125"/>
      <c r="BP125" s="15"/>
      <c r="BQ125"/>
      <c r="BR125" s="15"/>
      <c r="BS125"/>
    </row>
    <row r="126" spans="3:71" ht="12.3" customHeight="1">
      <c r="E126" s="328" t="s">
        <v>576</v>
      </c>
      <c r="F126" s="328"/>
      <c r="G126" s="656">
        <v>410</v>
      </c>
      <c r="H126" s="296" t="s">
        <v>603</v>
      </c>
      <c r="I126" s="258">
        <f>ROUND(((G126*G125/2)*3.67)/1000,2)</f>
        <v>0.85</v>
      </c>
      <c r="J126" s="71" t="s">
        <v>577</v>
      </c>
      <c r="K126" s="258"/>
      <c r="L126" s="258"/>
      <c r="M126" s="258"/>
      <c r="O126" s="258"/>
      <c r="AG126" s="6"/>
      <c r="AH126" s="6"/>
      <c r="AI126" s="6"/>
      <c r="AM126" s="6"/>
    </row>
    <row r="127" spans="3:71" ht="13.5" customHeight="1">
      <c r="D127" s="258" t="s">
        <v>605</v>
      </c>
      <c r="E127" s="296"/>
      <c r="F127" s="296" t="s">
        <v>433</v>
      </c>
      <c r="G127" s="656">
        <v>10</v>
      </c>
      <c r="H127" s="296" t="s">
        <v>603</v>
      </c>
      <c r="I127" s="258">
        <f>I126*G127</f>
        <v>8.5</v>
      </c>
      <c r="J127" s="71" t="s">
        <v>577</v>
      </c>
      <c r="K127" s="258"/>
      <c r="L127" s="258"/>
      <c r="M127" s="258"/>
      <c r="O127" s="258"/>
      <c r="U127" s="6"/>
      <c r="V127" s="6"/>
      <c r="W127" s="6"/>
      <c r="X127" s="6"/>
      <c r="Y127" s="6"/>
      <c r="Z127" s="6"/>
      <c r="AA127" s="6"/>
      <c r="AV127" s="326" t="s">
        <v>228</v>
      </c>
      <c r="AW127" s="61"/>
      <c r="AX127" t="s">
        <v>195</v>
      </c>
      <c r="AY127" t="s">
        <v>197</v>
      </c>
      <c r="AZ127" s="62">
        <v>500</v>
      </c>
      <c r="BA127" s="63" t="str">
        <f>CONCATENATE("(",AV123," € | ",AV124," €)")</f>
        <v>(1.) € | 2.) €)</v>
      </c>
      <c r="BB127" s="62">
        <v>1000</v>
      </c>
      <c r="BC127" s="63" t="s">
        <v>31</v>
      </c>
      <c r="BD127" s="62">
        <v>1500</v>
      </c>
      <c r="BE127" s="63" t="s">
        <v>31</v>
      </c>
      <c r="BF127" s="62">
        <v>2000</v>
      </c>
      <c r="BG127" s="63" t="s">
        <v>31</v>
      </c>
      <c r="BH127" s="62">
        <v>2500</v>
      </c>
      <c r="BI127" s="63" t="s">
        <v>31</v>
      </c>
      <c r="BJ127" s="62">
        <v>3000</v>
      </c>
      <c r="BK127" s="63" t="s">
        <v>31</v>
      </c>
      <c r="BL127" s="62">
        <v>3500</v>
      </c>
      <c r="BM127" s="63" t="s">
        <v>31</v>
      </c>
      <c r="BN127" s="62">
        <v>4000</v>
      </c>
      <c r="BO127" s="63" t="s">
        <v>31</v>
      </c>
      <c r="BP127" s="62">
        <v>4500</v>
      </c>
      <c r="BQ127" s="63" t="s">
        <v>31</v>
      </c>
      <c r="BR127" s="62">
        <v>5000</v>
      </c>
      <c r="BS127" s="63" t="s">
        <v>31</v>
      </c>
    </row>
    <row r="128" spans="3:71" ht="13.5" customHeight="1">
      <c r="C128" s="1" t="s">
        <v>584</v>
      </c>
      <c r="D128" s="1">
        <v>410</v>
      </c>
      <c r="N128" s="1"/>
      <c r="U128" s="6"/>
      <c r="V128" s="6"/>
      <c r="W128" s="6"/>
      <c r="X128" s="6"/>
      <c r="Y128" s="6"/>
      <c r="Z128" s="6"/>
      <c r="AA128" s="6"/>
      <c r="AV128" s="326"/>
      <c r="AW128" s="47" t="s">
        <v>191</v>
      </c>
      <c r="AX128" s="47">
        <v>2494</v>
      </c>
      <c r="AY128" s="50">
        <v>0.4</v>
      </c>
      <c r="AZ128" s="59" t="str">
        <f>CONCATENATE((AZ$127*$AY128)/1000," t CO2")</f>
        <v>0,2 t CO2</v>
      </c>
      <c r="BA128" s="48" t="str">
        <f>CONCATENATE(ROUND(((AZ$127*$AY128)/1000)*AW$123,0),"€ |",ROUND(((AZ$127*$AY128)/1000)*$AW$124,0),"€")</f>
        <v>11€ |20€</v>
      </c>
      <c r="BB128" s="59" t="str">
        <f>CONCATENATE((BB$127*$AY128)/1000," t CO2")</f>
        <v>0,4 t CO2</v>
      </c>
      <c r="BC128" s="48" t="str">
        <f>CONCATENATE(ROUND(((BB$127*$AY128)/1000)*$AW$123,0),"€ |",ROUND(((BB$127*$AY128)/1000)*$AW$124,0),"€")</f>
        <v>22€ |40€</v>
      </c>
      <c r="BD128" s="59">
        <f>(BD$127*$AY128)/1000</f>
        <v>0.6</v>
      </c>
      <c r="BE128" s="48" t="str">
        <f>CONCATENATE(ROUND(BD128*$AW$123,0),"€ |",ROUND(BD128*$AW$124,0),"€")</f>
        <v>33€ |60€</v>
      </c>
      <c r="BF128" s="59">
        <f>(BF$127*$AY128)/1000</f>
        <v>0.8</v>
      </c>
      <c r="BG128" s="48" t="str">
        <f>CONCATENATE(ROUND(BF128*$AW$123,0),"€ |",ROUND(BF128*$AW$124,0),"€")</f>
        <v>44€ |80€</v>
      </c>
      <c r="BH128" s="59">
        <f>(BH$127*$AY128)/1000</f>
        <v>1</v>
      </c>
      <c r="BI128" s="48" t="str">
        <f>CONCATENATE(ROUND(BH128*$AW$123,0),"€ |",ROUND(BH128*$AW$124,0),"€")</f>
        <v>55€ |100€</v>
      </c>
      <c r="BJ128" s="59">
        <f>(BJ$127*$AY128)/1000</f>
        <v>1.2</v>
      </c>
      <c r="BK128" s="48" t="str">
        <f>CONCATENATE(ROUND(BJ128*$AW$123,0),"€ |",ROUND(BJ128*$AW$124,0),"€")</f>
        <v>66€ |120€</v>
      </c>
      <c r="BL128" s="59">
        <f>(BL$127*$AY128)/1000</f>
        <v>1.4</v>
      </c>
      <c r="BM128" s="48" t="str">
        <f>CONCATENATE(ROUND(BL128*$AW$123,0),"€ |",ROUND(BL128*$AW$124,0),"€")</f>
        <v>77€ |140€</v>
      </c>
      <c r="BN128" s="59">
        <f>(BN$127*$AY128)/1000</f>
        <v>1.6</v>
      </c>
      <c r="BO128" s="48" t="str">
        <f>CONCATENATE(ROUND(BN128*$AW$123,0),"€ |",ROUND(BN128*$AW$124,0),"€")</f>
        <v>88€ |160€</v>
      </c>
      <c r="BP128" s="59">
        <f>(BP$127*$AY128)/1000</f>
        <v>1.8</v>
      </c>
      <c r="BQ128" s="48" t="str">
        <f>CONCATENATE(ROUND(BP128*$AW$123,0),"€ |",ROUND(BP128*$AW$124,0),"€")</f>
        <v>99€ |180€</v>
      </c>
      <c r="BR128" s="59">
        <f>(BR$127*$AY128)/1000</f>
        <v>2</v>
      </c>
      <c r="BS128" s="48" t="str">
        <f>CONCATENATE(ROUND(BR128*$AW$123,0),"€ |",ROUND(BR128*$AW$124,0),"€")</f>
        <v>110€ |200€</v>
      </c>
    </row>
    <row r="129" spans="3:71" ht="13.5" customHeight="1">
      <c r="C129" s="1" t="s">
        <v>585</v>
      </c>
      <c r="D129" s="1">
        <v>410</v>
      </c>
      <c r="N129" s="1"/>
      <c r="U129" s="6"/>
      <c r="V129" s="6"/>
      <c r="W129" s="6"/>
      <c r="X129" s="6"/>
      <c r="Y129" s="6"/>
      <c r="Z129" s="6"/>
      <c r="AA129" s="6"/>
      <c r="AV129" s="53" t="s">
        <v>229</v>
      </c>
      <c r="AW129" s="47" t="s">
        <v>154</v>
      </c>
      <c r="AX129" s="47">
        <v>5497</v>
      </c>
      <c r="AY129" s="50">
        <v>0.18</v>
      </c>
      <c r="AZ129" s="59" t="str">
        <f>CONCATENATE((AZ$127*$AY129)/1000," t CO2")</f>
        <v>0,09 t CO2</v>
      </c>
      <c r="BA129" s="48" t="str">
        <f>CONCATENATE(ROUND(((AZ$127*$AY129)/1000)*AW$123,0),"€ |",ROUND(((AZ$127*$AY129)/1000)*$AW$124,0),"€")</f>
        <v>5€ |9€</v>
      </c>
      <c r="BB129" s="59" t="str">
        <f>CONCATENATE((BB$127*$AY129)/1000," t CO2")</f>
        <v>0,18 t CO2</v>
      </c>
      <c r="BC129" s="48" t="str">
        <f>CONCATENATE(ROUND(((BB$127*$AY129)/1000)*$AW$123,0),"€ |",ROUND(((BB$127*$AY129)/1000)*$AW$124,0),"€")</f>
        <v>10€ |18€</v>
      </c>
      <c r="BD129" s="59">
        <f>(BD$127*$AY129)/1000</f>
        <v>0.27</v>
      </c>
      <c r="BE129" s="48" t="str">
        <f>CONCATENATE(ROUND(BD129*$AW$123,0),"€ |",ROUND(BD129*$AW$124,0),"€")</f>
        <v>15€ |27€</v>
      </c>
      <c r="BF129" s="59">
        <f>(BF$127*$AY129)/1000</f>
        <v>0.36</v>
      </c>
      <c r="BG129" s="48" t="str">
        <f>CONCATENATE(ROUND(BF129*$AW$123,0),"€ |",ROUND(BF129*$AW$124,0),"€")</f>
        <v>20€ |36€</v>
      </c>
      <c r="BH129" s="59">
        <f>(BH$127*$AY129)/1000</f>
        <v>0.45</v>
      </c>
      <c r="BI129" s="48" t="str">
        <f>CONCATENATE(ROUND(BH129*$AW$123,0),"€ |",ROUND(BH129*$AW$124,0),"€")</f>
        <v>25€ |45€</v>
      </c>
      <c r="BJ129" s="59">
        <f>(BJ$127*$AY129)/1000</f>
        <v>0.54</v>
      </c>
      <c r="BK129" s="48" t="str">
        <f>CONCATENATE(ROUND(BJ129*$AW$123,0),"€ |",ROUND(BJ129*$AW$124,0),"€")</f>
        <v>30€ |54€</v>
      </c>
      <c r="BL129" s="59">
        <f>(BL$127*$AY129)/1000</f>
        <v>0.63</v>
      </c>
      <c r="BM129" s="48" t="str">
        <f>CONCATENATE(ROUND(BL129*$AW$123,0),"€ |",ROUND(BL129*$AW$124,0),"€")</f>
        <v>35€ |63€</v>
      </c>
      <c r="BN129" s="59">
        <f>(BN$127*$AY129)/1000</f>
        <v>0.72</v>
      </c>
      <c r="BO129" s="48" t="str">
        <f>CONCATENATE(ROUND(BN129*$AW$123,0),"€ |",ROUND(BN129*$AW$124,0),"€")</f>
        <v>40€ |72€</v>
      </c>
      <c r="BP129" s="59">
        <f>(BP$127*$AY129)/1000</f>
        <v>0.81</v>
      </c>
      <c r="BQ129" s="48" t="str">
        <f>CONCATENATE(ROUND(BP129*$AW$123,0),"€ |",ROUND(BP129*$AW$124,0),"€")</f>
        <v>45€ |81€</v>
      </c>
      <c r="BR129" s="59">
        <f>(BR$127*$AY129)/1000</f>
        <v>0.9</v>
      </c>
      <c r="BS129" s="48" t="str">
        <f>CONCATENATE(ROUND(BR129*$AW$123,0),"€ |",ROUND(BR129*$AW$124,0),"€")</f>
        <v>50€ |90€</v>
      </c>
    </row>
    <row r="130" spans="3:71" ht="13.5" customHeight="1">
      <c r="C130" s="1" t="s">
        <v>567</v>
      </c>
      <c r="D130" s="1">
        <v>430</v>
      </c>
      <c r="N130" s="1"/>
      <c r="U130" s="6"/>
      <c r="V130" s="6"/>
      <c r="W130" s="6"/>
      <c r="X130" s="6"/>
      <c r="Y130" s="6"/>
      <c r="Z130" s="6"/>
      <c r="AA130" s="6"/>
      <c r="AV130" s="53" t="s">
        <v>224</v>
      </c>
      <c r="AW130" s="47" t="s">
        <v>236</v>
      </c>
      <c r="AX130" s="47">
        <v>3740</v>
      </c>
      <c r="AY130" s="50">
        <v>0.27</v>
      </c>
      <c r="AZ130" s="59" t="str">
        <f>CONCATENATE(AZ127/10,"L;",ROUND((AZ$139*$AY130)/1000,1),"t")</f>
        <v>50L;2,8t</v>
      </c>
      <c r="BA130" s="49" t="str">
        <f>CONCATENATE(ROUND((AZ$127*$AY130/1000)*$AW$123,0),"€ | ",ROUND((AZ127*$AY130/1000)*$AW$124,0),"€")</f>
        <v>7€ | 14€</v>
      </c>
      <c r="BB130" s="59" t="str">
        <f>CONCATENATE(BB127/10,"L;",ROUND((BB$139*$AY130)/1000,1),"t")</f>
        <v>100L;3t</v>
      </c>
      <c r="BC130" s="49" t="str">
        <f>CONCATENATE(ROUND((BB$127*$AY130/1000)*$AW$123,0),"€ | ",ROUND((BB127*$AY130/1000)*$AW$124,0),"€")</f>
        <v>15€ | 27€</v>
      </c>
      <c r="BD130" s="59" t="str">
        <f>CONCATENATE(BD127/10,"L;",ROUND((BD$139*$AY130)/1000,1),"t")</f>
        <v>150L;3,1t</v>
      </c>
      <c r="BE130" s="49" t="str">
        <f>CONCATENATE(ROUND((BD127*$AY130/1000)*$AW$123,0),"€ | ",ROUND((BD127*$AY130/1000)*$AW$124,0),"€")</f>
        <v>22€ | 41€</v>
      </c>
      <c r="BF130" s="59" t="str">
        <f>CONCATENATE(BF127/10,"L;",ROUND((BF$139*$AY130)/1000,1),"t")</f>
        <v>200L;3,2t</v>
      </c>
      <c r="BG130" s="49" t="str">
        <f>CONCATENATE(ROUND((BF127*$AY130/1000)*$AW$123,0),"€ | ",ROUND((BF127*$AY130/1000)*$AW$124,0),"€")</f>
        <v>30€ | 54€</v>
      </c>
      <c r="BH130" s="59" t="str">
        <f>CONCATENATE(BH127/10,"L;",ROUND((BH$139*$AY130)/1000,1),"t")</f>
        <v>250L;3,4t</v>
      </c>
      <c r="BI130" s="49" t="str">
        <f>CONCATENATE(ROUND((BH127*$AY130/1000)*$AW$123,0),"€ | ",ROUND((BH127*$AY130/1000)*$AW$124,0),"€")</f>
        <v>37€ | 68€</v>
      </c>
      <c r="BJ130" s="59" t="str">
        <f>CONCATENATE(BJ127/10,"L;",ROUND((BJ$139*$AY130)/1000,1),"t")</f>
        <v>300L;3,5t</v>
      </c>
      <c r="BK130" s="49" t="str">
        <f>CONCATENATE(ROUND((BJ127*$AY130/1000)*$AW$123,0),"€ | ",ROUND((BJ127*$AY130/1000)*$AW$124,0),"€")</f>
        <v>45€ | 81€</v>
      </c>
      <c r="BL130" s="59" t="str">
        <f>CONCATENATE(BL127/10,"L;",ROUND((BL$139*$AY130)/1000,1),"t")</f>
        <v>350L;3,6t</v>
      </c>
      <c r="BM130" s="49" t="str">
        <f>CONCATENATE(ROUND((BL127*$AY130/1000)*$AW$123,0),"€ | ",ROUND((BL127*$AY130/1000)*$AW$124,0),"€")</f>
        <v>52€ | 95€</v>
      </c>
      <c r="BN130" s="59" t="str">
        <f>CONCATENATE(BN127/10,"L;",ROUND((BN$139*$AY130)/1000,1),"t")</f>
        <v>400L;3,8t</v>
      </c>
      <c r="BO130" s="49" t="str">
        <f>CONCATENATE(ROUND((BN127*$AY130/1000)*$AW$123,0),"€ | ",ROUND((BN127*$AY130/1000)*$AW$124,0),"€")</f>
        <v>59€ | 108€</v>
      </c>
      <c r="BP130" s="59" t="str">
        <f>CONCATENATE(BP127/10,"L;",ROUND((BP$139*$AY130)/1000,1),"t")</f>
        <v>450L;3,9t</v>
      </c>
      <c r="BQ130" s="49" t="str">
        <f>CONCATENATE(ROUND((BP127*$AY130/1000)*$AW$123,0),"€ | ",ROUND((BP127*$AY130/1000)*$AW$124,0),"€")</f>
        <v>67€ | 122€</v>
      </c>
      <c r="BR130" s="59" t="str">
        <f>CONCATENATE(BR127/10,"L;",ROUND((BR$139*$AY130)/1000,1),"t")</f>
        <v>500L;4,1t</v>
      </c>
      <c r="BS130" s="49" t="str">
        <f>CONCATENATE(ROUND((BR127*$AY130/1000)*$AW$123,0),"€ | ",ROUND((BR127*$AY130/1000)*$AW$124,0),"€")</f>
        <v>74€ | 135€</v>
      </c>
    </row>
    <row r="131" spans="3:71" ht="13.5" customHeight="1">
      <c r="C131" s="1" t="s">
        <v>579</v>
      </c>
      <c r="D131" s="1">
        <v>470</v>
      </c>
      <c r="J131" s="333" t="s">
        <v>608</v>
      </c>
      <c r="K131" s="333"/>
      <c r="L131" s="333"/>
      <c r="AV131" s="53" t="s">
        <v>225</v>
      </c>
      <c r="AW131" s="47" t="s">
        <v>223</v>
      </c>
      <c r="AX131" s="47">
        <v>330</v>
      </c>
      <c r="AY131" s="50">
        <f>3.03/14</f>
        <v>0.21642857142857141</v>
      </c>
      <c r="AZ131" s="59" t="str">
        <f>CONCATENATE(ROUND(AZ127/14,0),"kg;",ROUND((AZ127*$AY131)/1000,1),"t")</f>
        <v>36kg;0,1t</v>
      </c>
      <c r="BA131" s="49" t="str">
        <f>CONCATENATE(ROUND((AZ$127*$AY131/1000)*$AW$123,0),"€ | ",ROUND((AZ$127*$AY131/1000)*$AW$124,0),"€")</f>
        <v>6€ | 11€</v>
      </c>
      <c r="BB131" s="59" t="str">
        <f>CONCATENATE(ROUND(BB127/14,0),"kg;",ROUND((BB127*$AY131)/1000,1),"t")</f>
        <v>71kg;0,2t</v>
      </c>
      <c r="BC131" s="49" t="str">
        <f>CONCATENATE(ROUND((BB$127*$AY131/1000)*$AW$123,0),"€ | ",ROUND((BB$127*$AY131/1000)*$AW$124,0),"€")</f>
        <v>12€ | 22€</v>
      </c>
      <c r="BD131" s="59" t="str">
        <f>CONCATENATE(ROUND(BD127/14,0),"kg;",ROUND((BD127*$AY131)/1000,1),"t")</f>
        <v>107kg;0,3t</v>
      </c>
      <c r="BE131" s="49" t="str">
        <f>CONCATENATE(ROUND((BD127*$AY131/1000)*$AW$123,0),"€ | ",ROUND((BD127*$AY131/1000)*$AW$124,0),"€")</f>
        <v>18€ | 32€</v>
      </c>
      <c r="BF131" s="59" t="str">
        <f>CONCATENATE(ROUND(BF127/14,0),"kg;",ROUND((BF127*$AY131)/1000,1),"t")</f>
        <v>143kg;0,4t</v>
      </c>
      <c r="BG131" s="49" t="str">
        <f>CONCATENATE(ROUND((BF127*$AY131/1000)*$AW$123,0),"€ | ",ROUND((BF127*$AY131/1000)*$AW$124,0),"€")</f>
        <v>24€ | 43€</v>
      </c>
      <c r="BH131" s="59" t="str">
        <f>CONCATENATE(ROUND(BH127/14,0),"kg;",ROUND((BH127*$AY131)/1000,1),"t")</f>
        <v>179kg;0,5t</v>
      </c>
      <c r="BI131" s="49" t="str">
        <f>CONCATENATE(ROUND((BH127*$AY131/1000)*$AW$123,0),"€ | ",ROUND((BH127*$AY131/1000)*$AW$124,0),"€")</f>
        <v>30€ | 54€</v>
      </c>
      <c r="BJ131" s="59" t="str">
        <f>CONCATENATE(ROUND(BJ127/14,0),"kg;",ROUND((BJ127*$AY131)/1000,1),"t")</f>
        <v>214kg;0,6t</v>
      </c>
      <c r="BK131" s="49" t="str">
        <f>CONCATENATE(ROUND((BJ127*$AY131/1000)*$AW$123,0),"€ | ",ROUND((BJ127*$AY131/1000)*$AW$124,0),"€")</f>
        <v>36€ | 65€</v>
      </c>
      <c r="BL131" s="59" t="str">
        <f>CONCATENATE(ROUND(BL127/14,0),"kg;",ROUND((BL127*$AY131)/1000,1),"t")</f>
        <v>250kg;0,8t</v>
      </c>
      <c r="BM131" s="49" t="str">
        <f>CONCATENATE(ROUND((BL127*$AY131/1000)*$AW$123,0),"€ | ",ROUND((BL127*$AY131/1000)*$AW$124,0),"€")</f>
        <v>42€ | 76€</v>
      </c>
      <c r="BN131" s="59" t="str">
        <f>CONCATENATE(ROUND(BN127/14,0),"kg;",ROUND((BN127*$AY131)/1000,1),"t")</f>
        <v>286kg;0,9t</v>
      </c>
      <c r="BO131" s="49" t="str">
        <f>CONCATENATE(ROUND((BN127*$AY131/1000)*$AW$123,0),"€ | ",ROUND((BN127*$AY131/1000)*$AW$124,0),"€")</f>
        <v>48€ | 87€</v>
      </c>
      <c r="BP131" s="59" t="str">
        <f>CONCATENATE(ROUND(BP127/14,0),"kg;",ROUND((BP127*$AY131)/1000,1),"t")</f>
        <v>321kg;1t</v>
      </c>
      <c r="BQ131" s="49" t="str">
        <f>CONCATENATE(ROUND((BP127*$AY131/1000)*$AW$123,0),"€ | ",ROUND((BP127*$AY131/1000)*$AW$124,0),"€")</f>
        <v>54€ | 97€</v>
      </c>
      <c r="BR131" s="59" t="str">
        <f>CONCATENATE(ROUND(BR127/14,0),"kg;",ROUND((BR127*$AY131)/1000,1),"t")</f>
        <v>357kg;1,1t</v>
      </c>
      <c r="BS131" s="49" t="str">
        <f>CONCATENATE(ROUND((BR127*$AY131/1000)*$AW$123,0),"€ | ",ROUND((BR127*$AY131/1000)*$AW$124,0),"€")</f>
        <v>60€ | 108€</v>
      </c>
    </row>
    <row r="132" spans="3:71" ht="13.5" customHeight="1">
      <c r="C132" s="1" t="s">
        <v>580</v>
      </c>
      <c r="D132" s="1">
        <v>510</v>
      </c>
      <c r="J132" s="333"/>
      <c r="K132" s="333"/>
      <c r="L132" s="333"/>
      <c r="AV132"/>
      <c r="AW132"/>
      <c r="AX132"/>
      <c r="AY132" s="51"/>
      <c r="AZ132" s="60"/>
      <c r="BA132" s="52"/>
      <c r="BB132" s="60"/>
      <c r="BC132" s="52"/>
      <c r="BD132" s="60"/>
      <c r="BE132" s="52"/>
      <c r="BF132" s="60"/>
      <c r="BG132" s="52"/>
      <c r="BH132" s="60"/>
      <c r="BI132" s="52"/>
      <c r="BJ132" s="60"/>
      <c r="BK132" s="52"/>
      <c r="BL132" s="60"/>
      <c r="BM132" s="52"/>
      <c r="BN132" s="60"/>
      <c r="BO132" s="52"/>
      <c r="BP132" s="60"/>
      <c r="BQ132" s="52"/>
      <c r="BR132" s="60"/>
      <c r="BS132" s="52"/>
    </row>
    <row r="133" spans="3:71" ht="13.5" customHeight="1">
      <c r="C133" s="1" t="s">
        <v>586</v>
      </c>
      <c r="D133" s="1">
        <v>520</v>
      </c>
      <c r="J133" s="333"/>
      <c r="K133" s="333"/>
      <c r="L133" s="333"/>
      <c r="AV133" s="61"/>
      <c r="AW133" s="61"/>
      <c r="AX133" s="61"/>
      <c r="AY133" s="64"/>
      <c r="AZ133" s="65">
        <v>5500</v>
      </c>
      <c r="BA133" s="63" t="s">
        <v>31</v>
      </c>
      <c r="BB133" s="65">
        <v>6000</v>
      </c>
      <c r="BC133" s="63" t="s">
        <v>31</v>
      </c>
      <c r="BD133" s="65">
        <v>6500</v>
      </c>
      <c r="BE133" s="63" t="s">
        <v>31</v>
      </c>
      <c r="BF133" s="65">
        <v>7000</v>
      </c>
      <c r="BG133" s="63" t="s">
        <v>31</v>
      </c>
      <c r="BH133" s="65">
        <v>7500</v>
      </c>
      <c r="BI133" s="63" t="s">
        <v>31</v>
      </c>
      <c r="BJ133" s="65">
        <v>8000</v>
      </c>
      <c r="BK133" s="63" t="s">
        <v>31</v>
      </c>
      <c r="BL133" s="65">
        <v>8500</v>
      </c>
      <c r="BM133" s="63" t="s">
        <v>31</v>
      </c>
      <c r="BN133" s="65">
        <v>9000</v>
      </c>
      <c r="BO133" s="63" t="s">
        <v>31</v>
      </c>
      <c r="BP133" s="65">
        <v>9500</v>
      </c>
      <c r="BQ133" s="63" t="s">
        <v>31</v>
      </c>
      <c r="BR133" s="65">
        <v>10000</v>
      </c>
      <c r="BS133" s="63" t="s">
        <v>31</v>
      </c>
    </row>
    <row r="134" spans="3:71" ht="13.5" customHeight="1">
      <c r="C134" s="1" t="s">
        <v>587</v>
      </c>
      <c r="D134" s="1">
        <v>520</v>
      </c>
      <c r="J134" s="333"/>
      <c r="K134" s="333"/>
      <c r="L134" s="333"/>
      <c r="AV134"/>
      <c r="AW134" s="47" t="s">
        <v>191</v>
      </c>
      <c r="AX134" s="47">
        <v>2494</v>
      </c>
      <c r="AY134" s="50">
        <v>0.4</v>
      </c>
      <c r="AZ134" s="59" t="str">
        <f>CONCATENATE((AZ$127*$AY134)/1000," t CO2")</f>
        <v>0,2 t CO2</v>
      </c>
      <c r="BA134" s="48" t="str">
        <f>CONCATENATE(ROUND(((AZ133*$AY134)/1000)*AW$123,0),"€ |",ROUND(((AZ133*$AY134)/1000)*$AW$124,0),"€")</f>
        <v>121€ |220€</v>
      </c>
      <c r="BB134" s="59">
        <f>(BB$133*$AY134)/1000</f>
        <v>2.4</v>
      </c>
      <c r="BC134" s="48" t="str">
        <f>CONCATENATE(ROUND(BB134*$AW$123,0),"€ |",ROUND(BB134*$AW$124,0),"€")</f>
        <v>132€ |240€</v>
      </c>
      <c r="BD134" s="59">
        <f>(BD$133*$AY134)/1000</f>
        <v>2.6</v>
      </c>
      <c r="BE134" s="48" t="str">
        <f>CONCATENATE(ROUND(BD134*$AW$123,0),"€ |",ROUND(BD134*$AW$124,0),"€")</f>
        <v>143€ |260€</v>
      </c>
      <c r="BF134" s="59">
        <f>(BF$133*$AY134)/1000</f>
        <v>2.8</v>
      </c>
      <c r="BG134" s="48" t="str">
        <f>CONCATENATE(ROUND(BF134*$AW$123,0),"€ |",ROUND(BF134*$AW$124,0),"€")</f>
        <v>154€ |280€</v>
      </c>
      <c r="BH134" s="59">
        <f>(BH$133*$AY134)/1000</f>
        <v>3</v>
      </c>
      <c r="BI134" s="48" t="str">
        <f>CONCATENATE(ROUND(BH134*$AW$123,0),"€ |",ROUND(BH134*$AW$124,0),"€")</f>
        <v>165€ |300€</v>
      </c>
      <c r="BJ134" s="59">
        <f>(BJ$133*$AY134)/1000</f>
        <v>3.2</v>
      </c>
      <c r="BK134" s="48" t="str">
        <f>CONCATENATE(ROUND(BJ134*$AW$123,0),"€ |",ROUND(BJ134*$AW$124,0),"€")</f>
        <v>176€ |320€</v>
      </c>
      <c r="BL134" s="59">
        <f>(BL$133*$AY134)/1000</f>
        <v>3.4</v>
      </c>
      <c r="BM134" s="48" t="str">
        <f>CONCATENATE(ROUND(BL134*$AW$123,0),"€ |",ROUND(BL134*$AW$124,0),"€")</f>
        <v>187€ |340€</v>
      </c>
      <c r="BN134" s="59">
        <f>(BN$133*$AY134)/1000</f>
        <v>3.6</v>
      </c>
      <c r="BO134" s="48" t="str">
        <f>CONCATENATE(ROUND(BN134*$AW$123,0),"€ |",ROUND(BN134*$AW$124,0),"€")</f>
        <v>198€ |360€</v>
      </c>
      <c r="BP134" s="59">
        <f>(BP$133*$AY134)/1000</f>
        <v>3.8</v>
      </c>
      <c r="BQ134" s="48" t="str">
        <f>CONCATENATE(ROUND(BP134*$AW$123,0),"€ |",ROUND(BP134*$AW$124,0),"€")</f>
        <v>209€ |380€</v>
      </c>
      <c r="BR134" s="59">
        <f>(BR$133*$AY134)/1000</f>
        <v>4</v>
      </c>
      <c r="BS134" s="48" t="str">
        <f>CONCATENATE(ROUND(BR134*$AW$123,0),"€ |",ROUND(BR134*$AW$124,0),"€")</f>
        <v>220€ |400€</v>
      </c>
    </row>
    <row r="135" spans="3:71" ht="13.5" customHeight="1">
      <c r="C135" s="1" t="s">
        <v>581</v>
      </c>
      <c r="D135" s="1">
        <v>550</v>
      </c>
      <c r="J135" s="333"/>
      <c r="K135" s="333"/>
      <c r="L135" s="333"/>
      <c r="AV135"/>
      <c r="AW135" s="47" t="s">
        <v>154</v>
      </c>
      <c r="AX135" s="47">
        <v>5497</v>
      </c>
      <c r="AY135" s="50">
        <v>0.18</v>
      </c>
      <c r="AZ135" s="59" t="str">
        <f>CONCATENATE((AZ$127*$AY135)/1000," t CO2")</f>
        <v>0,09 t CO2</v>
      </c>
      <c r="BA135" s="48" t="str">
        <f>CONCATENATE(ROUND(((AZ133*$AY135)/1000)*AW$123,0),"€ |",ROUND(((AZ133*$AY135)/1000)*$AW$124,0),"€")</f>
        <v>54€ |99€</v>
      </c>
      <c r="BB135" s="59">
        <f>(BB$133*$AY135)/1000</f>
        <v>1.08</v>
      </c>
      <c r="BC135" s="48" t="str">
        <f>CONCATENATE(ROUND(BB135*$AW$123,0),"€ |",ROUND(BB135*$AW$124,0),"€")</f>
        <v>59€ |108€</v>
      </c>
      <c r="BD135" s="59">
        <f>(BD$133*$AY135)/1000</f>
        <v>1.17</v>
      </c>
      <c r="BE135" s="48" t="str">
        <f>CONCATENATE(ROUND(BD135*$AW$123,0),"€ |",ROUND(BD135*$AW$124,0),"€")</f>
        <v>64€ |117€</v>
      </c>
      <c r="BF135" s="59">
        <f>(BF$133*$AY135)/1000</f>
        <v>1.26</v>
      </c>
      <c r="BG135" s="48" t="str">
        <f>CONCATENATE(ROUND(BF135*$AW$123,0),"€ |",ROUND(BF135*$AW$124,0),"€")</f>
        <v>69€ |126€</v>
      </c>
      <c r="BH135" s="59">
        <f>(BH$133*$AY135)/1000</f>
        <v>1.35</v>
      </c>
      <c r="BI135" s="48" t="str">
        <f>CONCATENATE(ROUND(BH135*$AW$123,0),"€ |",ROUND(BH135*$AW$124,0),"€")</f>
        <v>74€ |135€</v>
      </c>
      <c r="BJ135" s="59">
        <f>(BJ$133*$AY135)/1000</f>
        <v>1.44</v>
      </c>
      <c r="BK135" s="48" t="str">
        <f>CONCATENATE(ROUND(BJ135*$AW$123,0),"€ |",ROUND(BJ135*$AW$124,0),"€")</f>
        <v>79€ |144€</v>
      </c>
      <c r="BL135" s="59">
        <f>(BL$133*$AY135)/1000</f>
        <v>1.53</v>
      </c>
      <c r="BM135" s="48" t="str">
        <f>CONCATENATE(ROUND(BL135*$AW$123,0),"€ |",ROUND(BL135*$AW$124,0),"€")</f>
        <v>84€ |153€</v>
      </c>
      <c r="BN135" s="59">
        <f>(BN$133*$AY135)/1000</f>
        <v>1.62</v>
      </c>
      <c r="BO135" s="48" t="str">
        <f>CONCATENATE(ROUND(BN135*$AW$123,0),"€ |",ROUND(BN135*$AW$124,0),"€")</f>
        <v>89€ |162€</v>
      </c>
      <c r="BP135" s="59">
        <f>(BP$133*$AY135)/1000</f>
        <v>1.71</v>
      </c>
      <c r="BQ135" s="48" t="str">
        <f>CONCATENATE(ROUND(BP135*$AW$123,0),"€ |",ROUND(BP135*$AW$124,0),"€")</f>
        <v>94€ |171€</v>
      </c>
      <c r="BR135" s="59">
        <f>(BR$133*$AY135)/1000</f>
        <v>1.8</v>
      </c>
      <c r="BS135" s="48" t="str">
        <f>CONCATENATE(ROUND(BR135*$AW$123,0),"€ |",ROUND(BR135*$AW$124,0),"€")</f>
        <v>99€ |180€</v>
      </c>
    </row>
    <row r="136" spans="3:71" ht="13.5" customHeight="1">
      <c r="C136" s="1" t="s">
        <v>588</v>
      </c>
      <c r="D136" s="1">
        <v>550</v>
      </c>
      <c r="J136" s="333"/>
      <c r="K136" s="333"/>
      <c r="L136" s="333"/>
      <c r="AV136"/>
      <c r="AW136" s="47" t="s">
        <v>236</v>
      </c>
      <c r="AX136" s="47">
        <v>3740</v>
      </c>
      <c r="AY136" s="50">
        <v>0.27</v>
      </c>
      <c r="AZ136" s="59" t="str">
        <f>CONCATENATE(AZ133/10,"L;",ROUND((AZ$139*$AY136)/1000,1),"t")</f>
        <v>550L;2,8t</v>
      </c>
      <c r="BA136" s="49" t="str">
        <f>CONCATENATE(ROUND((AZ133*AY136/1000)*$AW$123,0),"€ | ",ROUND((AZ133*AY136/1000)*$AW$124,0),"€")</f>
        <v>82€ | 149€</v>
      </c>
      <c r="BB136" s="59" t="str">
        <f>CONCATENATE(BB133/10,"L;",ROUND((BB$139*$AY136)/1000,1),"t")</f>
        <v>600L;3t</v>
      </c>
      <c r="BC136" s="49" t="str">
        <f>CONCATENATE(ROUND((BB133*$AY136/1000)*$AW$123,0),"€ | ",ROUND((BB133*$AY136/1000)*$AW$124,0),"€")</f>
        <v>89€ | 162€</v>
      </c>
      <c r="BD136" s="59" t="str">
        <f>CONCATENATE(BD133/10,"L;",ROUND((BD$139*$AY136)/1000,1),"t")</f>
        <v>650L;3,1t</v>
      </c>
      <c r="BE136" s="49" t="str">
        <f>CONCATENATE(ROUND((BD133*$AY136/1000)*$AW$123,0),"€ | ",ROUND((BD133*$AY136/1000)*$AW$124,0),"€")</f>
        <v>97€ | 176€</v>
      </c>
      <c r="BF136" s="59" t="str">
        <f>CONCATENATE(BF133/10,"L;",ROUND((BF$139*$AY136)/1000,1),"t")</f>
        <v>700L;3,2t</v>
      </c>
      <c r="BG136" s="49" t="str">
        <f>CONCATENATE(ROUND((BF133*$AY136/1000)*$AW$123,0),"€ | ",ROUND((BF133*$AY136/1000)*$AW$124,0),"€")</f>
        <v>104€ | 189€</v>
      </c>
      <c r="BH136" s="59" t="str">
        <f>CONCATENATE(BH133/10,"L;",ROUND((BH$139*$AY136)/1000,1),"t")</f>
        <v>750L;3,4t</v>
      </c>
      <c r="BI136" s="49" t="str">
        <f>CONCATENATE(ROUND((BH133*$AY136/1000)*$AW$123,0),"€ | ",ROUND((BH133*$AY136/1000)*$AW$124,0),"€")</f>
        <v>111€ | 203€</v>
      </c>
      <c r="BJ136" s="59" t="str">
        <f>CONCATENATE(BJ133/10,"L;",ROUND((BJ$139*$AY136)/1000,1),"t")</f>
        <v>800L;3,5t</v>
      </c>
      <c r="BK136" s="49" t="str">
        <f>CONCATENATE(ROUND((BJ133*$AY136/1000)*$AW$123,0),"€ | ",ROUND((BJ133*$AY136/1000)*$AW$124,0),"€")</f>
        <v>119€ | 216€</v>
      </c>
      <c r="BL136" s="59" t="str">
        <f>CONCATENATE(BL133/10,"L;",ROUND((BL$139*$AY136)/1000,1),"t")</f>
        <v>850L;3,6t</v>
      </c>
      <c r="BM136" s="49" t="str">
        <f>CONCATENATE(ROUND((BL133*$AY136/1000)*$AW$123,0),"€ | ",ROUND((BL133*$AY136/1000)*$AW$124,0),"€")</f>
        <v>126€ | 230€</v>
      </c>
      <c r="BN136" s="59" t="str">
        <f>CONCATENATE(BN133/10,"L;",ROUND((BN$139*$AY136)/1000,1),"t")</f>
        <v>900L;3,8t</v>
      </c>
      <c r="BO136" s="49" t="str">
        <f>CONCATENATE(ROUND((BN133*$AY136/1000)*$AW$123,0),"€ | ",ROUND((BN133*$AY136/1000)*$AW$124,0),"€")</f>
        <v>134€ | 243€</v>
      </c>
      <c r="BP136" s="59" t="str">
        <f>CONCATENATE(BP133/10,"L;",ROUND((BP$139*$AY136)/1000,1),"t")</f>
        <v>950L;3,9t</v>
      </c>
      <c r="BQ136" s="49" t="str">
        <f>CONCATENATE(ROUND((BP133*$AY136/1000)*$AW$123,0),"€ | ",ROUND((BP133*$AY136/1000)*$AW$124,0),"€")</f>
        <v>141€ | 257€</v>
      </c>
      <c r="BR136" s="59" t="str">
        <f>CONCATENATE(BR133/10,"L;",ROUND((BR$139*$AY136)/1000,1),"t")</f>
        <v>1000L;4,1t</v>
      </c>
      <c r="BS136" s="49" t="str">
        <f>CONCATENATE(ROUND((BR133*$AY136/1000)*$AW$123,0),"€ | ",ROUND((BR133*$AY136/1000)*$AW$124,0),"€")</f>
        <v>149€ | 270€</v>
      </c>
    </row>
    <row r="137" spans="3:71" ht="13.5" customHeight="1">
      <c r="C137" s="1" t="s">
        <v>589</v>
      </c>
      <c r="D137" s="1">
        <v>590</v>
      </c>
      <c r="J137" s="333"/>
      <c r="K137" s="333"/>
      <c r="L137" s="333"/>
      <c r="AV137"/>
      <c r="AW137" s="47" t="s">
        <v>223</v>
      </c>
      <c r="AX137" s="47">
        <v>330</v>
      </c>
      <c r="AY137" s="50">
        <f>3.03/14</f>
        <v>0.21642857142857141</v>
      </c>
      <c r="AZ137" s="59" t="str">
        <f>CONCATENATE(ROUND(AZ133/14,0),"kg;",ROUND((AZ133*$AY137)/1000,1),"t")</f>
        <v>393kg;1,2t</v>
      </c>
      <c r="BA137" s="49" t="str">
        <f>CONCATENATE(ROUND((AZ133*$AY137/1000)*$AW$123,0),"€ | ",ROUND((AZ133*$AY137/1000)*$AW$124,0),"€")</f>
        <v>65€ | 119€</v>
      </c>
      <c r="BB137" s="59" t="str">
        <f>CONCATENATE(ROUND(BB133/14,0),"kg;",ROUND((BB133*$AY137)/1000,1),"t")</f>
        <v>429kg;1,3t</v>
      </c>
      <c r="BC137" s="49" t="str">
        <f>CONCATENATE(ROUND((BB133*$AY137/1000)*$AW$123,0),"€ | ",ROUND((BB133*$AY137/1000)*$AW$124,0),"€")</f>
        <v>71€ | 130€</v>
      </c>
      <c r="BD137" s="59" t="str">
        <f>CONCATENATE(ROUND(BD133/14,0),"kg;",ROUND((BD133*$AY137)/1000,1),"t")</f>
        <v>464kg;1,4t</v>
      </c>
      <c r="BE137" s="49" t="str">
        <f>CONCATENATE(ROUND((BD133*$AY137/1000)*$AW$123,0),"€ | ",ROUND((BD133*$AY137/1000)*$AW$124,0),"€")</f>
        <v>77€ | 141€</v>
      </c>
      <c r="BF137" s="59" t="str">
        <f>CONCATENATE(ROUND(BF133/14,0),"kg;",ROUND((BF133*$AY137)/1000,1),"t")</f>
        <v>500kg;1,5t</v>
      </c>
      <c r="BG137" s="49" t="str">
        <f>CONCATENATE(ROUND((BF133*$AY137/1000)*$AW$123,0),"€ | ",ROUND((BF133*$AY137/1000)*$AW$124,0),"€")</f>
        <v>83€ | 152€</v>
      </c>
      <c r="BH137" s="59" t="str">
        <f>CONCATENATE(ROUND(BH133/14,0),"kg;",ROUND((BH133*$AY137)/1000,1),"t")</f>
        <v>536kg;1,6t</v>
      </c>
      <c r="BI137" s="49" t="str">
        <f>CONCATENATE(ROUND((BH133*$AY137/1000)*$AW$123,0),"€ | ",ROUND((BH133*$AY137/1000)*$AW$124,0),"€")</f>
        <v>89€ | 162€</v>
      </c>
      <c r="BJ137" s="59" t="str">
        <f>CONCATENATE(ROUND(BJ133/14,0),"kg;",ROUND((BJ133*$AY137)/1000,1),"t")</f>
        <v>571kg;1,7t</v>
      </c>
      <c r="BK137" s="49" t="str">
        <f>CONCATENATE(ROUND((BJ133*$AY137/1000)*$AW$123,0),"€ | ",ROUND((BJ133*$AY137/1000)*$AW$124,0),"€")</f>
        <v>95€ | 173€</v>
      </c>
      <c r="BL137" s="59" t="str">
        <f>CONCATENATE(ROUND(BL133/14,0),"kg;",ROUND((BL133*$AY137)/1000,1),"t")</f>
        <v>607kg;1,8t</v>
      </c>
      <c r="BM137" s="49" t="str">
        <f>CONCATENATE(ROUND((BL133*$AY137/1000)*$AW$123,0),"€ | ",ROUND((BL133*$AY137/1000)*$AW$124,0),"€")</f>
        <v>101€ | 184€</v>
      </c>
      <c r="BN137" s="59" t="str">
        <f>CONCATENATE(ROUND(BN133/14,0),"kg;",ROUND((BN133*$AY137)/1000,1),"t")</f>
        <v>643kg;1,9t</v>
      </c>
      <c r="BO137" s="49" t="str">
        <f>CONCATENATE(ROUND((BN133*$AY137/1000)*$AW$123,0),"€ | ",ROUND((BN133*$AY137/1000)*$AW$124,0),"€")</f>
        <v>107€ | 195€</v>
      </c>
      <c r="BP137" s="59" t="str">
        <f>CONCATENATE(ROUND(BP133/14,0),"kg;",ROUND((BP133*$AY137)/1000,1),"t")</f>
        <v>679kg;2,1t</v>
      </c>
      <c r="BQ137" s="49" t="str">
        <f>CONCATENATE(ROUND((BP133*$AY137/1000)*$AW$123,0),"€ | ",ROUND((BP133*$AY137/1000)*$AW$124,0),"€")</f>
        <v>113€ | 206€</v>
      </c>
      <c r="BR137" s="59" t="str">
        <f>CONCATENATE(ROUND(BR133/14,0),"kg;",ROUND((BR133*$AY137)/1000,1),"t")</f>
        <v>714kg;2,2t</v>
      </c>
      <c r="BS137" s="49" t="str">
        <f>CONCATENATE(ROUND((BR133*$AY137/1000)*$AW$123,0),"€ | ",ROUND((BR133*$AY137/1000)*$AW$124,0),"€")</f>
        <v>119€ | 216€</v>
      </c>
    </row>
    <row r="138" spans="3:71" ht="13.5" customHeight="1">
      <c r="C138" s="1" t="s">
        <v>590</v>
      </c>
      <c r="D138" s="1">
        <v>600</v>
      </c>
      <c r="AV138"/>
      <c r="AW138"/>
      <c r="AX138"/>
      <c r="AY138" s="51"/>
      <c r="AZ138" s="60"/>
      <c r="BA138" s="52"/>
      <c r="BB138" s="60"/>
      <c r="BC138" s="52"/>
      <c r="BD138" s="60"/>
      <c r="BE138" s="52"/>
      <c r="BF138" s="60"/>
      <c r="BG138" s="52"/>
      <c r="BH138" s="60"/>
      <c r="BI138" s="52"/>
      <c r="BJ138" s="59"/>
      <c r="BK138" s="52"/>
      <c r="BL138" s="60"/>
      <c r="BM138" s="52"/>
      <c r="BN138" s="60"/>
      <c r="BO138" s="52"/>
      <c r="BP138" s="60"/>
      <c r="BQ138" s="52"/>
      <c r="BR138" s="60"/>
      <c r="BS138" s="52"/>
    </row>
    <row r="139" spans="3:71" ht="13.5" customHeight="1">
      <c r="C139" s="1" t="s">
        <v>591</v>
      </c>
      <c r="D139" s="1">
        <v>610</v>
      </c>
      <c r="AV139" s="61"/>
      <c r="AW139" s="61"/>
      <c r="AX139" s="61"/>
      <c r="AY139" s="64"/>
      <c r="AZ139" s="65">
        <v>10500</v>
      </c>
      <c r="BA139" s="63" t="s">
        <v>31</v>
      </c>
      <c r="BB139" s="65">
        <v>11000</v>
      </c>
      <c r="BC139" s="63" t="s">
        <v>31</v>
      </c>
      <c r="BD139" s="65">
        <v>11500</v>
      </c>
      <c r="BE139" s="63" t="s">
        <v>31</v>
      </c>
      <c r="BF139" s="65">
        <v>12000</v>
      </c>
      <c r="BG139" s="63" t="s">
        <v>31</v>
      </c>
      <c r="BH139" s="65">
        <v>12500</v>
      </c>
      <c r="BI139" s="63" t="s">
        <v>31</v>
      </c>
      <c r="BJ139" s="65">
        <v>13000</v>
      </c>
      <c r="BK139" s="63" t="s">
        <v>31</v>
      </c>
      <c r="BL139" s="65">
        <v>13500</v>
      </c>
      <c r="BM139" s="63" t="s">
        <v>31</v>
      </c>
      <c r="BN139" s="65">
        <v>14000</v>
      </c>
      <c r="BO139" s="63" t="s">
        <v>31</v>
      </c>
      <c r="BP139" s="65">
        <v>14500</v>
      </c>
      <c r="BQ139" s="63" t="s">
        <v>31</v>
      </c>
      <c r="BR139" s="65">
        <v>15000</v>
      </c>
      <c r="BS139" s="63" t="s">
        <v>31</v>
      </c>
    </row>
    <row r="140" spans="3:71" ht="13.5" customHeight="1">
      <c r="C140" s="1" t="s">
        <v>592</v>
      </c>
      <c r="D140" s="1">
        <v>640</v>
      </c>
      <c r="AV140"/>
      <c r="AW140" s="47" t="s">
        <v>191</v>
      </c>
      <c r="AX140" s="47">
        <v>2494</v>
      </c>
      <c r="AY140" s="50">
        <v>0.4</v>
      </c>
      <c r="AZ140" s="59">
        <f>(AZ$139*$AY140)/1000</f>
        <v>4.2</v>
      </c>
      <c r="BA140" s="48" t="str">
        <f>CONCATENATE(ROUND(((AZ139*$AY140)/1000)*AW$123,0),"€ |",ROUND(((AZ139*$AY140)/1000)*$AW$124,0),"€")</f>
        <v>231€ |420€</v>
      </c>
      <c r="BB140" s="59">
        <f>(BB$139*$AY140)/1000</f>
        <v>4.4000000000000004</v>
      </c>
      <c r="BC140" s="48" t="str">
        <f>CONCATENATE(ROUND(BB140*$AW$123,0),"€ |",ROUND(BB140*$AW$124,0),"€")</f>
        <v>242€ |440€</v>
      </c>
      <c r="BD140" s="59">
        <f>(BD$139*$AY140)/1000</f>
        <v>4.5999999999999996</v>
      </c>
      <c r="BE140" s="48" t="str">
        <f>CONCATENATE(ROUND(BD140*$AW$123,0),"€ |",ROUND(BD140*$AW$124,0),"€")</f>
        <v>253€ |460€</v>
      </c>
      <c r="BF140" s="59">
        <f>(BF$139*$AY140)/1000</f>
        <v>4.8</v>
      </c>
      <c r="BG140" s="48" t="str">
        <f>CONCATENATE(ROUND(BF140*$AW$123,0),"€ |",ROUND(BF140*$AW$124,0),"€")</f>
        <v>264€ |480€</v>
      </c>
      <c r="BH140" s="59">
        <f>(BH$139*$AY140)/1000</f>
        <v>5</v>
      </c>
      <c r="BI140" s="48" t="str">
        <f>CONCATENATE(ROUND(BH140*$AW$123,0),"€ |",ROUND(BH140*$AW$124,0),"€")</f>
        <v>275€ |500€</v>
      </c>
      <c r="BJ140" s="59">
        <f>(BJ$139*$AY140)/1000</f>
        <v>5.2</v>
      </c>
      <c r="BK140" s="48" t="str">
        <f>CONCATENATE(ROUND(BJ140*$AW$123,0),"€ |",ROUND(BJ140*$AW$124,0),"€")</f>
        <v>286€ |520€</v>
      </c>
      <c r="BL140" s="59">
        <f>(BL$139*$AY140)/1000</f>
        <v>5.4</v>
      </c>
      <c r="BM140" s="48" t="str">
        <f>CONCATENATE(ROUND(BL140*$AW$123,0),"€ |",ROUND(BL140*$AW$124,0),"€")</f>
        <v>297€ |540€</v>
      </c>
      <c r="BN140" s="59">
        <f>(BN$139*$AY140)/1000</f>
        <v>5.6</v>
      </c>
      <c r="BO140" s="48" t="str">
        <f>CONCATENATE(ROUND(BN140*$AW$123,0),"€ |",ROUND(BN140*$AW$124,0),"€")</f>
        <v>308€ |560€</v>
      </c>
      <c r="BP140" s="59">
        <f>(BP$139*$AY140)/1000</f>
        <v>5.8</v>
      </c>
      <c r="BQ140" s="48" t="str">
        <f>CONCATENATE(ROUND(BP140*$AW$123,0),"€ |",ROUND(BP140*$AW$124,0),"€")</f>
        <v>319€ |580€</v>
      </c>
      <c r="BR140" s="59">
        <f>(BR$139*$AY140)/1000</f>
        <v>6</v>
      </c>
      <c r="BS140" s="48" t="str">
        <f>CONCATENATE(ROUND(BR140*$AW$123,0),"€ |",ROUND(BR140*$AW$124,0),"€")</f>
        <v>330€ |600€</v>
      </c>
    </row>
    <row r="141" spans="3:71" ht="13.5" customHeight="1">
      <c r="C141" s="1" t="s">
        <v>593</v>
      </c>
      <c r="D141" s="1">
        <v>650</v>
      </c>
      <c r="AV141"/>
      <c r="AW141" s="47" t="s">
        <v>154</v>
      </c>
      <c r="AX141" s="47">
        <v>5497</v>
      </c>
      <c r="AY141" s="50">
        <v>0.18</v>
      </c>
      <c r="AZ141" s="59">
        <f>(AZ$139*$AY141)/1000</f>
        <v>1.89</v>
      </c>
      <c r="BA141" s="48" t="str">
        <f>CONCATENATE(ROUND(((AZ139*$AY141)/1000)*AW$123,0),"€ |",ROUND(((AZ139*$AY141)/1000)*$AW$124,0),"€")</f>
        <v>104€ |189€</v>
      </c>
      <c r="BB141" s="59">
        <f>(BB$139*$AY141)/1000</f>
        <v>1.98</v>
      </c>
      <c r="BC141" s="48" t="str">
        <f>CONCATENATE(ROUND(BB141*$AW$123,0),"€ |",ROUND(BB141*$AW$124,0),"€")</f>
        <v>109€ |198€</v>
      </c>
      <c r="BD141" s="59">
        <f>(BD$139*$AY141)/1000</f>
        <v>2.0699999999999998</v>
      </c>
      <c r="BE141" s="48" t="str">
        <f>CONCATENATE(ROUND(BD141*$AW$123,0),"€ |",ROUND(BD141*$AW$124,0),"€")</f>
        <v>114€ |207€</v>
      </c>
      <c r="BF141" s="59">
        <f>(BF$139*$AY141)/1000</f>
        <v>2.16</v>
      </c>
      <c r="BG141" s="48" t="str">
        <f>CONCATENATE(ROUND(BF141*$AW$123,0),"€ |",ROUND(BF141*$AW$124,0),"€")</f>
        <v>119€ |216€</v>
      </c>
      <c r="BH141" s="59">
        <f>(BH$139*$AY141)/1000</f>
        <v>2.25</v>
      </c>
      <c r="BI141" s="48" t="str">
        <f>CONCATENATE(ROUND(BH141*$AW$123,0),"€ |",ROUND(BH141*$AW$124,0),"€")</f>
        <v>124€ |225€</v>
      </c>
      <c r="BJ141" s="59">
        <f>(BJ$139*$AY141)/1000</f>
        <v>2.34</v>
      </c>
      <c r="BK141" s="48" t="str">
        <f>CONCATENATE(ROUND(BJ141*$AW$123,0),"€ |",ROUND(BJ141*$AW$124,0),"€")</f>
        <v>129€ |234€</v>
      </c>
      <c r="BL141" s="59">
        <f>(BL$139*$AY141)/1000</f>
        <v>2.4300000000000002</v>
      </c>
      <c r="BM141" s="48" t="str">
        <f>CONCATENATE(ROUND(BL141*$AW$123,0),"€ |",ROUND(BL141*$AW$124,0),"€")</f>
        <v>134€ |243€</v>
      </c>
      <c r="BN141" s="59">
        <f>(BN$139*$AY141)/1000</f>
        <v>2.52</v>
      </c>
      <c r="BO141" s="48" t="str">
        <f>CONCATENATE(ROUND(BN141*$AW$123,0),"€ |",ROUND(BN141*$AW$124,0),"€")</f>
        <v>139€ |252€</v>
      </c>
      <c r="BP141" s="59">
        <f>(BP$139*$AY141)/1000</f>
        <v>2.61</v>
      </c>
      <c r="BQ141" s="48" t="str">
        <f>CONCATENATE(ROUND(BP141*$AW$123,0),"€ |",ROUND(BP141*$AW$124,0),"€")</f>
        <v>144€ |261€</v>
      </c>
      <c r="BR141" s="59">
        <f>(BR$139*$AY141)/1000</f>
        <v>2.7</v>
      </c>
      <c r="BS141" s="48" t="str">
        <f>CONCATENATE(ROUND(BR141*$AW$123,0),"€ |",ROUND(BR141*$AW$124,0),"€")</f>
        <v>149€ |270€</v>
      </c>
    </row>
    <row r="142" spans="3:71" ht="13.5" customHeight="1">
      <c r="C142" s="1" t="s">
        <v>594</v>
      </c>
      <c r="D142" s="1">
        <v>680</v>
      </c>
      <c r="AV142"/>
      <c r="AW142" s="47" t="s">
        <v>236</v>
      </c>
      <c r="AX142" s="47">
        <v>3740</v>
      </c>
      <c r="AY142" s="50">
        <v>0.27</v>
      </c>
      <c r="AZ142" s="59" t="str">
        <f>CONCATENATE(AZ139/10,"L;",ROUND((AZ$139*$AY142)/1000,1),"t")</f>
        <v>1050L;2,8t</v>
      </c>
      <c r="BA142" s="49" t="str">
        <f>CONCATENATE(ROUND((AZ139*$AY142/1000)*$AW$123,0),"€ | ",ROUND((AZ139*$AY142/1000)*$AW$124,0),"€")</f>
        <v>156€ | 284€</v>
      </c>
      <c r="BB142" s="59" t="str">
        <f>CONCATENATE(BB139/10,"L;",ROUND((BB$139*$AY142)/1000,1),"t")</f>
        <v>1100L;3t</v>
      </c>
      <c r="BC142" s="49" t="str">
        <f>CONCATENATE(ROUND((BB139*$AY142/1000)*$AW$123,0),"€ | ",ROUND((BB139*$AY142/1000)*$AW$124,0),"€")</f>
        <v>163€ | 297€</v>
      </c>
      <c r="BD142" s="59" t="str">
        <f>CONCATENATE(BD139/10,"L;",ROUND((BD$139*$AY142)/1000,1),"t")</f>
        <v>1150L;3,1t</v>
      </c>
      <c r="BE142" s="49" t="str">
        <f>CONCATENATE(ROUND((BD139*$AY142/1000)*$AW$123,0),"€ | ",ROUND((BD139*$AY142/1000)*$AW$124,0),"€")</f>
        <v>171€ | 311€</v>
      </c>
      <c r="BF142" s="59" t="str">
        <f>CONCATENATE(BF139/10,"L;",ROUND((BF$139*$AY142)/1000,1),"t")</f>
        <v>1200L;3,2t</v>
      </c>
      <c r="BG142" s="49" t="str">
        <f>CONCATENATE(ROUND((BF139*$AY142/1000)*$AW$123,0),"€ | ",ROUND((BF139*$AY142/1000)*$AW$124,0),"€")</f>
        <v>178€ | 324€</v>
      </c>
      <c r="BH142" s="59" t="str">
        <f>CONCATENATE(BH139/10,"L;",ROUND((BH$139*$AY142)/1000,1),"t")</f>
        <v>1250L;3,4t</v>
      </c>
      <c r="BI142" s="49" t="str">
        <f>CONCATENATE(ROUND((BH139*$AY142/1000)*$AW$123,0),"€ | ",ROUND((BH139*$AY142/1000)*$AW$124,0),"€")</f>
        <v>186€ | 338€</v>
      </c>
      <c r="BJ142" s="59" t="str">
        <f>CONCATENATE(BJ139/10,"L;",ROUND((BJ$139*$AY142)/1000,1),"t")</f>
        <v>1300L;3,5t</v>
      </c>
      <c r="BK142" s="49" t="str">
        <f>CONCATENATE(ROUND((BJ139*$AY142/1000)*$AW$123,0),"€ | ",ROUND((BJ139*$AY142/1000)*$AW$124,0),"€")</f>
        <v>193€ | 351€</v>
      </c>
      <c r="BL142" s="59" t="str">
        <f>CONCATENATE(BL139/10,"L;",ROUND((BL$139*$AY142)/1000,1),"t")</f>
        <v>1350L;3,6t</v>
      </c>
      <c r="BM142" s="49" t="str">
        <f>CONCATENATE(ROUND((BL139*$AY142/1000)*$AW$123,0),"€ | ",ROUND((BL139*$AY142/1000)*$AW$124,0),"€")</f>
        <v>200€ | 365€</v>
      </c>
      <c r="BN142" s="59" t="str">
        <f>CONCATENATE(BN139/10,"L;",ROUND((BN$139*$AY142)/1000,1),"t")</f>
        <v>1400L;3,8t</v>
      </c>
      <c r="BO142" s="49" t="str">
        <f>CONCATENATE(ROUND((BN139*$AY142/1000)*$AW$123,0),"€ | ",ROUND((BN139*$AY142/1000)*$AW$124,0),"€")</f>
        <v>208€ | 378€</v>
      </c>
      <c r="BP142" s="59" t="str">
        <f>CONCATENATE(BP139/10,"L;",ROUND((BP$139*$AY142)/1000,1),"t")</f>
        <v>1450L;3,9t</v>
      </c>
      <c r="BQ142" s="49" t="str">
        <f>CONCATENATE(ROUND((BP139*$AY142/1000)*$AW$123,0),"€ | ",ROUND((BP139*$AY142/1000)*$AW$124,0),"€")</f>
        <v>215€ | 392€</v>
      </c>
      <c r="BR142" s="59" t="str">
        <f>CONCATENATE(BR139/10,"L;",ROUND((BR$139*$AY142)/1000,1),"t")</f>
        <v>1500L;4,1t</v>
      </c>
      <c r="BS142" s="49" t="str">
        <f>CONCATENATE(ROUND((BR139*$AY142/1000)*$AW$123,0),"€ | ",ROUND((BR139*$AY142/1000)*$AW$124,0),"€")</f>
        <v>223€ | 405€</v>
      </c>
    </row>
    <row r="143" spans="3:71" ht="13.5" customHeight="1">
      <c r="C143" s="1" t="s">
        <v>582</v>
      </c>
      <c r="D143" s="1">
        <v>690</v>
      </c>
      <c r="AV143"/>
      <c r="AW143" s="47" t="s">
        <v>21</v>
      </c>
      <c r="AX143" s="47">
        <v>330</v>
      </c>
      <c r="AY143" s="50">
        <f>3.03/14</f>
        <v>0.21642857142857141</v>
      </c>
      <c r="AZ143" s="59" t="str">
        <f>CONCATENATE(ROUND(AZ139/14,0),"kg;",ROUND((AZ139*$AY143)/1000,1),"t")</f>
        <v>750kg;2,3t</v>
      </c>
      <c r="BA143" s="49" t="str">
        <f>CONCATENATE(ROUND((AZ139*$AY143/1000)*$AW$123,0),"€ | ",ROUND((AZ139*$AY143/1000)*$AW$124,0),"€")</f>
        <v>125€ | 227€</v>
      </c>
      <c r="BB143" s="59" t="str">
        <f>CONCATENATE(ROUND(BB139/14,0),"kg;",ROUND((BB139*$AY143)/1000,1),"t")</f>
        <v>786kg;2,4t</v>
      </c>
      <c r="BC143" s="49" t="str">
        <f>CONCATENATE(ROUND((BB139*$AY143/1000)*$AW$123,0),"€ | ",ROUND((BB139*$AY143/1000)*$AW$124,0),"€")</f>
        <v>131€ | 238€</v>
      </c>
      <c r="BD143" s="59" t="str">
        <f>CONCATENATE(ROUND(BD139/14,0),"kg;",ROUND((BD139*$AY143)/1000,1),"t")</f>
        <v>821kg;2,5t</v>
      </c>
      <c r="BE143" s="49" t="str">
        <f>CONCATENATE(ROUND((BD139*$AY143/1000)*$AW$123,0),"€ | ",ROUND((BD139*$AY143/1000)*$AW$124,0),"€")</f>
        <v>137€ | 249€</v>
      </c>
      <c r="BF143" s="59" t="str">
        <f>CONCATENATE(ROUND(BF139/14,0),"kg;",ROUND((BF139*$AY143)/1000,1),"t")</f>
        <v>857kg;2,6t</v>
      </c>
      <c r="BG143" s="49" t="str">
        <f>CONCATENATE(ROUND((BF139*$AY143/1000)*$AW$123,0),"€ | ",ROUND((BF139*$AY143/1000)*$AW$124,0),"€")</f>
        <v>143€ | 260€</v>
      </c>
      <c r="BH143" s="59" t="str">
        <f>CONCATENATE(ROUND(BH139/14,0),"kg;",ROUND((BH139*$AY143)/1000,1),"t")</f>
        <v>893kg;2,7t</v>
      </c>
      <c r="BI143" s="49" t="str">
        <f>CONCATENATE(ROUND((BH139*$AY143/1000)*$AW$123,0),"€ | ",ROUND((BH139*$AY143/1000)*$AW$124,0),"€")</f>
        <v>149€ | 271€</v>
      </c>
      <c r="BJ143" s="59" t="str">
        <f>CONCATENATE(ROUND(BJ139/14,0),"kg;",ROUND((BJ139*$AY143)/1000,1),"t")</f>
        <v>929kg;2,8t</v>
      </c>
      <c r="BK143" s="49" t="str">
        <f>CONCATENATE(ROUND((BJ139*$AY143/1000)*$AW$123,0),"€ | ",ROUND((BJ139*$AY143/1000)*$AW$124,0),"€")</f>
        <v>155€ | 281€</v>
      </c>
      <c r="BL143" s="59" t="str">
        <f>CONCATENATE(ROUND(BL139/14,0),"kg;",ROUND((BL139*$AY143)/1000,1),"t")</f>
        <v>964kg;2,9t</v>
      </c>
      <c r="BM143" s="49" t="str">
        <f>CONCATENATE(ROUND((BL139*$AY143/1000)*$AW$123,0),"€ | ",ROUND((BL139*$AY143/1000)*$AW$124,0),"€")</f>
        <v>161€ | 292€</v>
      </c>
      <c r="BN143" s="59" t="str">
        <f>CONCATENATE(ROUND(BN139/14,0),"kg;",ROUND((BN139*$AY143)/1000,1),"t")</f>
        <v>1000kg;3t</v>
      </c>
      <c r="BO143" s="49" t="str">
        <f>CONCATENATE(ROUND((BN139*$AY143/1000)*$AW$123,0),"€ | ",ROUND((BN139*$AY143/1000)*$AW$124,0),"€")</f>
        <v>167€ | 303€</v>
      </c>
      <c r="BP143" s="59" t="str">
        <f>CONCATENATE(ROUND(BP139/14,0),"kg;",ROUND((BP139*$AY143)/1000,1),"t")</f>
        <v>1036kg;3,1t</v>
      </c>
      <c r="BQ143" s="49" t="str">
        <f>CONCATENATE(ROUND((BP139*$AY143/1000)*$AW$123,0),"€ | ",ROUND((BP139*$AY143/1000)*$AW$124,0),"€")</f>
        <v>173€ | 314€</v>
      </c>
      <c r="BR143" s="59" t="str">
        <f>CONCATENATE(ROUND(BR139/14,0),"kg;",ROUND((BR139*$AY143)/1000,1),"t")</f>
        <v>1071kg;3,2t</v>
      </c>
      <c r="BS143" s="49" t="str">
        <f>CONCATENATE(ROUND((BR139*$AY143/1000)*$AW$123,0),"€ | ",ROUND((BR139*$AY143/1000)*$AW$124,0),"€")</f>
        <v>179€ | 325€</v>
      </c>
    </row>
    <row r="144" spans="3:71" ht="13.5" customHeight="1">
      <c r="C144" s="1" t="s">
        <v>595</v>
      </c>
      <c r="D144" s="1">
        <v>690</v>
      </c>
      <c r="AV144"/>
      <c r="AW144"/>
      <c r="AX144"/>
      <c r="AY144" s="51"/>
      <c r="AZ144" s="60"/>
      <c r="BA144" s="52"/>
      <c r="BB144" s="60"/>
      <c r="BC144" s="52"/>
      <c r="BD144" s="60"/>
      <c r="BE144" s="52"/>
      <c r="BF144" s="60"/>
      <c r="BG144" s="52"/>
      <c r="BH144" s="60"/>
      <c r="BI144" s="52"/>
      <c r="BJ144" s="60"/>
      <c r="BK144" s="52"/>
      <c r="BL144" s="60"/>
      <c r="BM144" s="52"/>
      <c r="BN144" s="60"/>
      <c r="BO144" s="52"/>
      <c r="BP144" s="60"/>
      <c r="BQ144" s="52"/>
      <c r="BR144" s="60"/>
      <c r="BS144" s="52"/>
    </row>
    <row r="145" spans="3:71" ht="13.5" customHeight="1">
      <c r="C145" s="1" t="s">
        <v>596</v>
      </c>
      <c r="D145" s="1">
        <v>690</v>
      </c>
      <c r="AV145" s="61"/>
      <c r="AW145" s="61"/>
      <c r="AX145" s="61"/>
      <c r="AY145" s="64"/>
      <c r="AZ145" s="65">
        <v>15500</v>
      </c>
      <c r="BA145" s="63" t="s">
        <v>31</v>
      </c>
      <c r="BB145" s="65">
        <v>16000</v>
      </c>
      <c r="BC145" s="63" t="s">
        <v>31</v>
      </c>
      <c r="BD145" s="65">
        <v>16500</v>
      </c>
      <c r="BE145" s="63" t="s">
        <v>31</v>
      </c>
      <c r="BF145" s="65">
        <v>17000</v>
      </c>
      <c r="BG145" s="63" t="s">
        <v>31</v>
      </c>
      <c r="BH145" s="65">
        <v>17500</v>
      </c>
      <c r="BI145" s="63" t="s">
        <v>31</v>
      </c>
      <c r="BJ145" s="65">
        <v>18000</v>
      </c>
      <c r="BK145" s="63" t="s">
        <v>31</v>
      </c>
      <c r="BL145" s="65">
        <v>18500</v>
      </c>
      <c r="BM145" s="63" t="s">
        <v>31</v>
      </c>
      <c r="BN145" s="65">
        <v>19000</v>
      </c>
      <c r="BO145" s="63" t="s">
        <v>31</v>
      </c>
      <c r="BP145" s="65">
        <v>19500</v>
      </c>
      <c r="BQ145" s="63" t="s">
        <v>31</v>
      </c>
      <c r="BR145" s="65">
        <v>20000</v>
      </c>
      <c r="BS145" s="63" t="s">
        <v>31</v>
      </c>
    </row>
    <row r="146" spans="3:71">
      <c r="C146" s="1" t="s">
        <v>597</v>
      </c>
      <c r="D146" s="1">
        <v>720</v>
      </c>
      <c r="AV146"/>
      <c r="AW146" s="47" t="s">
        <v>191</v>
      </c>
      <c r="AX146" s="47">
        <v>2494</v>
      </c>
      <c r="AY146" s="50">
        <v>0.4</v>
      </c>
      <c r="AZ146" s="59">
        <f>(AZ$145*$AY146)/1000</f>
        <v>6.2</v>
      </c>
      <c r="BA146" s="48" t="str">
        <f>CONCATENATE(ROUND(((AZ145*$AY146)/1000)*AW$123,0),"€ |",ROUND(((AZ145*$AY146)/1000)*$AW$124,0),"€")</f>
        <v>341€ |620€</v>
      </c>
      <c r="BB146" s="59">
        <f>(BB$145*$AY146)/1000</f>
        <v>6.4</v>
      </c>
      <c r="BC146" s="48" t="str">
        <f>CONCATENATE(ROUND(BB146*$AW$123,0),"€ |",ROUND(BB146*$AW$124,0),"€")</f>
        <v>352€ |640€</v>
      </c>
      <c r="BD146" s="59">
        <f>(BD$145*$AY146)/1000</f>
        <v>6.6</v>
      </c>
      <c r="BE146" s="48" t="str">
        <f>CONCATENATE(ROUND(BD146*$AW$123,0),"€ |",ROUND(BD146*$AW$124,0),"€")</f>
        <v>363€ |660€</v>
      </c>
      <c r="BF146" s="59">
        <f>(BF$145*$AY146)/1000</f>
        <v>6.8</v>
      </c>
      <c r="BG146" s="48" t="str">
        <f>CONCATENATE(ROUND(BF146*$AW$123,0),"€ |",ROUND(BF146*$AW$124,0),"€")</f>
        <v>374€ |680€</v>
      </c>
      <c r="BH146" s="59">
        <f>(BH$145*$AY146)/1000</f>
        <v>7</v>
      </c>
      <c r="BI146" s="48" t="str">
        <f>CONCATENATE(ROUND(BH146*$AW$123,0),"€ |",ROUND(BH146*$AW$124,0),"€")</f>
        <v>385€ |700€</v>
      </c>
      <c r="BJ146" s="59">
        <f>(BJ$145*$AY146)/1000</f>
        <v>7.2</v>
      </c>
      <c r="BK146" s="48" t="str">
        <f>CONCATENATE(ROUND(BJ146*$AW$123,0),"€ |",ROUND(BJ146*$AW$124,0),"€")</f>
        <v>396€ |720€</v>
      </c>
      <c r="BL146" s="59">
        <f>(BL$145*$AY146)/1000</f>
        <v>7.4</v>
      </c>
      <c r="BM146" s="48" t="str">
        <f>CONCATENATE(ROUND(BL146*$AW$123,0),"€ |",ROUND(BL146*$AW$124,0),"€")</f>
        <v>407€ |740€</v>
      </c>
      <c r="BN146" s="59">
        <f>(BN$145*$AY146)/1000</f>
        <v>7.6</v>
      </c>
      <c r="BO146" s="48" t="str">
        <f>CONCATENATE(ROUND(BN146*$AW$123,0),"€ |",ROUND(BN146*$AW$124,0),"€")</f>
        <v>418€ |760€</v>
      </c>
      <c r="BP146" s="59">
        <f>(BP$145*$AY146)/1000</f>
        <v>7.8</v>
      </c>
      <c r="BQ146" s="48" t="str">
        <f>CONCATENATE(ROUND(BP146*$AW$123,0),"€ |",ROUND(BP146*$AW$124,0),"€")</f>
        <v>429€ |780€</v>
      </c>
      <c r="BR146" s="59">
        <f>(BR$145*$AY146)/1000</f>
        <v>8</v>
      </c>
      <c r="BS146" s="48" t="str">
        <f>CONCATENATE(ROUND(BR146*$AW$123,0),"€ |",ROUND(BR146*$AW$124,0),"€")</f>
        <v>440€ |800€</v>
      </c>
    </row>
    <row r="147" spans="3:71">
      <c r="C147" s="1" t="s">
        <v>604</v>
      </c>
      <c r="D147" s="1">
        <v>750</v>
      </c>
      <c r="AV147"/>
      <c r="AW147" s="47"/>
      <c r="AX147" s="47"/>
      <c r="AY147" s="50"/>
      <c r="AZ147" s="59"/>
      <c r="BA147" s="48"/>
      <c r="BB147" s="59"/>
      <c r="BC147" s="48"/>
      <c r="BD147" s="59"/>
      <c r="BE147" s="48"/>
      <c r="BF147" s="59"/>
      <c r="BG147" s="48"/>
      <c r="BH147" s="59"/>
      <c r="BI147" s="48"/>
      <c r="BJ147" s="59"/>
      <c r="BK147" s="48"/>
      <c r="BL147" s="59"/>
      <c r="BM147" s="48"/>
      <c r="BN147" s="59"/>
      <c r="BO147" s="48"/>
      <c r="BP147" s="59"/>
      <c r="BQ147" s="48"/>
      <c r="BR147" s="59"/>
      <c r="BS147" s="48"/>
    </row>
    <row r="148" spans="3:71">
      <c r="C148" s="1" t="s">
        <v>598</v>
      </c>
      <c r="D148" s="1">
        <v>750</v>
      </c>
      <c r="AV148"/>
      <c r="AW148" s="47" t="s">
        <v>154</v>
      </c>
      <c r="AX148" s="47">
        <v>5497</v>
      </c>
      <c r="AY148" s="50">
        <v>0.18</v>
      </c>
      <c r="AZ148" s="59">
        <f>(AZ$145*$AY148)/1000</f>
        <v>2.79</v>
      </c>
      <c r="BA148" s="48" t="str">
        <f>CONCATENATE(ROUND(((AZ145*$AY148)/1000)*AW$123,0),"€ |",ROUND(((AZ145*$AY148)/1000)*$AW$124,0),"€")</f>
        <v>153€ |279€</v>
      </c>
      <c r="BB148" s="59">
        <f>(BB$145*$AY148)/1000</f>
        <v>2.88</v>
      </c>
      <c r="BC148" s="48" t="str">
        <f>CONCATENATE(ROUND(BB148*$AW$123,0),"€ |",ROUND(BB148*$AW$124,0),"€")</f>
        <v>158€ |288€</v>
      </c>
      <c r="BD148" s="59">
        <f>(BD$145*$AY148)/1000</f>
        <v>2.97</v>
      </c>
      <c r="BE148" s="48" t="str">
        <f>CONCATENATE(ROUND(BD148*$AW$123,0),"€ |",ROUND(BD148*$AW$124,0),"€")</f>
        <v>163€ |297€</v>
      </c>
      <c r="BF148" s="59">
        <f>(BF$145*$AY148)/1000</f>
        <v>3.06</v>
      </c>
      <c r="BG148" s="48" t="str">
        <f>CONCATENATE(ROUND(BF148*$AW$123,0),"€ |",ROUND(BF148*$AW$124,0),"€")</f>
        <v>168€ |306€</v>
      </c>
      <c r="BH148" s="59">
        <f>(BH$145*$AY148)/1000</f>
        <v>3.15</v>
      </c>
      <c r="BI148" s="48" t="str">
        <f>CONCATENATE(ROUND(BH148*$AW$123,0),"€ |",ROUND(BH148*$AW$124,0),"€")</f>
        <v>173€ |315€</v>
      </c>
      <c r="BJ148" s="59">
        <f>(BJ$145*$AY148)/1000</f>
        <v>3.24</v>
      </c>
      <c r="BK148" s="48" t="str">
        <f>CONCATENATE(ROUND(BJ148*$AW$123,0),"€ |",ROUND(BJ148*$AW$124,0),"€")</f>
        <v>178€ |324€</v>
      </c>
      <c r="BL148" s="59">
        <f>(BL$145*$AY148)/1000</f>
        <v>3.33</v>
      </c>
      <c r="BM148" s="48" t="str">
        <f>CONCATENATE(ROUND(BL148*$AW$123,0),"€ |",ROUND(BL148*$AW$124,0),"€")</f>
        <v>183€ |333€</v>
      </c>
      <c r="BN148" s="59">
        <f>(BN$145*$AY148)/1000</f>
        <v>3.42</v>
      </c>
      <c r="BO148" s="48" t="str">
        <f>CONCATENATE(ROUND(BN148*$AW$123,0),"€ |",ROUND(BN148*$AW$124,0),"€")</f>
        <v>188€ |342€</v>
      </c>
      <c r="BP148" s="59">
        <f>(BP$145*$AY148)/1000</f>
        <v>3.51</v>
      </c>
      <c r="BQ148" s="48" t="str">
        <f>CONCATENATE(ROUND(BP148*$AW$123,0),"€ |",ROUND(BP148*$AW$124,0),"€")</f>
        <v>193€ |351€</v>
      </c>
      <c r="BR148" s="59">
        <f>(BR$145*$AY148)/1000</f>
        <v>3.6</v>
      </c>
      <c r="BS148" s="48" t="str">
        <f>CONCATENATE(ROUND(BR148*$AW$123,0),"€ |",ROUND(BR148*$AW$124,0),"€")</f>
        <v>198€ |360€</v>
      </c>
    </row>
    <row r="149" spans="3:71">
      <c r="C149" s="1" t="s">
        <v>599</v>
      </c>
      <c r="D149" s="1">
        <v>770</v>
      </c>
      <c r="AV149"/>
      <c r="AW149" s="47" t="s">
        <v>236</v>
      </c>
      <c r="AX149" s="47">
        <v>3740</v>
      </c>
      <c r="AY149" s="50">
        <v>0.27</v>
      </c>
      <c r="AZ149" s="59" t="str">
        <f>CONCATENATE(AZ145/10,"L;",ROUND((AZ$139*$AY149)/1000,1),"t")</f>
        <v>1550L;2,8t</v>
      </c>
      <c r="BA149" s="49" t="str">
        <f>CONCATENATE(ROUND((AZ145*$AY149/1000)*$AW$123,0),"€ | ",ROUND((AZ145*$AY149/1000)*$AW$124,0),"€")</f>
        <v>230€ | 419€</v>
      </c>
      <c r="BB149" s="59" t="str">
        <f>CONCATENATE(BB145/10,"L;",ROUND((BB$139*$AY149)/1000,1),"t")</f>
        <v>1600L;3t</v>
      </c>
      <c r="BC149" s="49" t="str">
        <f>CONCATENATE(ROUND((BB145*$AY149/1000)*$AW$123,0),"€ | ",ROUND((BB145*$AY149/1000)*$AW$124,0),"€")</f>
        <v>238€ | 432€</v>
      </c>
      <c r="BD149" s="59" t="str">
        <f>CONCATENATE(BD145/10,"L;",ROUND((BD$139*$AY149)/1000,1),"t")</f>
        <v>1650L;3,1t</v>
      </c>
      <c r="BE149" s="49" t="str">
        <f>CONCATENATE(ROUND((BD145*$AY149/1000)*$AW$123,0),"€ | ",ROUND((BD145*$AY149/1000)*$AW$124,0),"€")</f>
        <v>245€ | 446€</v>
      </c>
      <c r="BF149" s="59" t="str">
        <f>CONCATENATE(BF145/10,"L;",ROUND((BF$139*$AY149)/1000,1),"t")</f>
        <v>1700L;3,2t</v>
      </c>
      <c r="BG149" s="49" t="str">
        <f>CONCATENATE(ROUND((BF145*$AY149/1000)*$AW$123,0),"€ | ",ROUND((BF145*$AY149/1000)*$AW$124,0),"€")</f>
        <v>252€ | 459€</v>
      </c>
      <c r="BH149" s="59" t="str">
        <f>CONCATENATE(BH145/10,"L;",ROUND((BH$139*$AY149)/1000,1),"t")</f>
        <v>1750L;3,4t</v>
      </c>
      <c r="BI149" s="49" t="str">
        <f>CONCATENATE(ROUND((BH145*$AY149/1000)*$AW$123,0),"€ | ",ROUND((BH145*$AY149/1000)*$AW$124,0),"€")</f>
        <v>260€ | 473€</v>
      </c>
      <c r="BJ149" s="59" t="str">
        <f>CONCATENATE(BJ145/10,"L;",ROUND((BJ$139*$AY149)/1000,1),"t")</f>
        <v>1800L;3,5t</v>
      </c>
      <c r="BK149" s="49" t="str">
        <f>CONCATENATE(ROUND((BJ145*$AY149/1000)*$AW$123,0),"€ | ",ROUND((BJ145*$AY149/1000)*$AW$124,0),"€")</f>
        <v>267€ | 486€</v>
      </c>
      <c r="BL149" s="59" t="str">
        <f>CONCATENATE(BL145/10,"L;",ROUND((BL$139*$AY149)/1000,1),"t")</f>
        <v>1850L;3,6t</v>
      </c>
      <c r="BM149" s="49" t="str">
        <f>CONCATENATE(ROUND((BL145*$AY149/1000)*$AW$123,0),"€ | ",ROUND((BL145*$AY149/1000)*$AW$124,0),"€")</f>
        <v>275€ | 500€</v>
      </c>
      <c r="BN149" s="59" t="str">
        <f>CONCATENATE(BN145/10,"L;",ROUND((BN$139*$AY149)/1000,1),"t")</f>
        <v>1900L;3,8t</v>
      </c>
      <c r="BO149" s="49" t="str">
        <f>CONCATENATE(ROUND((BN145*$AY149/1000)*$AW$123,0),"€ | ",ROUND((BN145*$AY149/1000)*$AW$124,0),"€")</f>
        <v>282€ | 513€</v>
      </c>
      <c r="BP149" s="59" t="str">
        <f>CONCATENATE(BP145/10,"L;",ROUND((BP$139*$AY149)/1000,1),"t")</f>
        <v>1950L;3,9t</v>
      </c>
      <c r="BQ149" s="49" t="str">
        <f>CONCATENATE(ROUND((BP145*$AY149/1000)*$AW$123,0),"€ | ",ROUND((BP145*$AY149/1000)*$AW$124,0),"€")</f>
        <v>290€ | 527€</v>
      </c>
      <c r="BR149" s="59" t="str">
        <f>CONCATENATE(BR145/10,"L;",ROUND((BR$139*$AY149)/1000,1),"t")</f>
        <v>2000L;4,1t</v>
      </c>
      <c r="BS149" s="49" t="str">
        <f>CONCATENATE(ROUND((BR145*$AY149/1000)*$AW$123,0),"€ | ",ROUND((BR145*$AY149/1000)*$AW$124,0),"€")</f>
        <v>297€ | 540€</v>
      </c>
    </row>
    <row r="150" spans="3:71">
      <c r="C150" s="1" t="s">
        <v>600</v>
      </c>
      <c r="D150" s="1">
        <v>1150</v>
      </c>
      <c r="AV150"/>
      <c r="AW150" s="47" t="s">
        <v>192</v>
      </c>
      <c r="AX150" s="47">
        <v>330</v>
      </c>
      <c r="AY150" s="50">
        <f>3.03/14</f>
        <v>0.21642857142857141</v>
      </c>
      <c r="AZ150" s="59" t="str">
        <f>CONCATENATE(ROUND(AZ145/14,0),"kg;",ROUND((AZ145*$AY150)/1000,1),"t")</f>
        <v>1107kg;3,4t</v>
      </c>
      <c r="BA150" s="49" t="str">
        <f>CONCATENATE(ROUND((AZ145*$AY150/1000)*$AW$123,0),"€ | ",ROUND((AZ145*$AY150/1000)*$AW$124,0),"€")</f>
        <v>185€ | 335€</v>
      </c>
      <c r="BB150" s="59" t="str">
        <f>CONCATENATE(ROUND(BB145/14,0),"kg;",ROUND((BB145*$AY150)/1000,1),"t")</f>
        <v>1143kg;3,5t</v>
      </c>
      <c r="BC150" s="49" t="str">
        <f>CONCATENATE(ROUND((BB145*$AY150/1000)*$AW$123,0),"€ | ",ROUND((BB145*$AY150/1000)*$AW$124,0),"€")</f>
        <v>190€ | 346€</v>
      </c>
      <c r="BD150" s="59" t="str">
        <f>CONCATENATE(ROUND(BD145/14,0),"kg;",ROUND((BD$139*$AY150)/1000,1),"t")</f>
        <v>1179kg;2,5t</v>
      </c>
      <c r="BE150" s="49" t="str">
        <f>CONCATENATE(ROUND((BD145*$AY150/1000)*$AW$123,0),"€ | ",ROUND((BD145*$AY150/1000)*$AW$124,0),"€")</f>
        <v>196€ | 357€</v>
      </c>
      <c r="BF150" s="59" t="str">
        <f>CONCATENATE(ROUND(BF145/14,0),"kg;",ROUND((BF145*$AY150)/1000,1),"t")</f>
        <v>1214kg;3,7t</v>
      </c>
      <c r="BG150" s="49" t="str">
        <f>CONCATENATE(ROUND((BF145*$AY150/1000)*$AW$123,0),"€ | ",ROUND((BF145*$AY150/1000)*$AW$124,0),"€")</f>
        <v>202€ | 368€</v>
      </c>
      <c r="BH150" s="59" t="str">
        <f>CONCATENATE(ROUND(BH145/14,0),"kg;",ROUND((BH145*$AY150)/1000,1),"t")</f>
        <v>1250kg;3,8t</v>
      </c>
      <c r="BI150" s="49" t="str">
        <f>CONCATENATE(ROUND((BH145*$AY150/1000)*$AW$123,0),"€ | ",ROUND((BH145*$AY150/1000)*$AW$124,0),"€")</f>
        <v>208€ | 379€</v>
      </c>
      <c r="BJ150" s="59" t="str">
        <f>CONCATENATE(ROUND(BJ145/14,0),"kg;",ROUND((BJ145*$AY150)/1000,1),"t")</f>
        <v>1286kg;3,9t</v>
      </c>
      <c r="BK150" s="49" t="str">
        <f>CONCATENATE(ROUND((BJ145*$AY150/1000)*$AW$123,0),"€ | ",ROUND((BJ145*$AY150/1000)*$AW$124,0),"€")</f>
        <v>214€ | 390€</v>
      </c>
      <c r="BL150" s="59" t="str">
        <f>CONCATENATE(ROUND(BL145/14,0),"kg;",ROUND((BL145*$AY150)/1000,1),"t")</f>
        <v>1321kg;4t</v>
      </c>
      <c r="BM150" s="49" t="str">
        <f>CONCATENATE(ROUND((BL145*$AY150/1000)*$AW$123,0),"€ | ",ROUND((BL145*$AY150/1000)*$AW$124,0),"€")</f>
        <v>220€ | 400€</v>
      </c>
      <c r="BN150" s="59" t="str">
        <f>CONCATENATE(ROUND(BN145/14,0),"kg;",ROUND((BN145*$AY150)/1000,1),"t")</f>
        <v>1357kg;4,1t</v>
      </c>
      <c r="BO150" s="49" t="str">
        <f>CONCATENATE(ROUND((BN145*$AY150/1000)*$AW$123,0),"€ | ",ROUND((BN145*$AY150/1000)*$AW$124,0),"€")</f>
        <v>226€ | 411€</v>
      </c>
      <c r="BP150" s="59" t="str">
        <f>CONCATENATE(ROUND(BP145/14,0),"kg;",ROUND((BP145*$AY150)/1000,1),"t")</f>
        <v>1393kg;4,2t</v>
      </c>
      <c r="BQ150" s="49" t="str">
        <f>CONCATENATE(ROUND((BP145*$AY150/1000)*$AW$123,0),"€ | ",ROUND((BP145*$AY150/1000)*$AW$124,0),"€")</f>
        <v>232€ | 422€</v>
      </c>
      <c r="BR150" s="59" t="str">
        <f>CONCATENATE(ROUND(BR145/14,0),"kg;",ROUND((BR145*$AY150)/1000,1),"t")</f>
        <v>1429kg;4,3t</v>
      </c>
      <c r="BS150" s="49" t="str">
        <f>CONCATENATE(ROUND((BR145*$AY150/1000)*$AW$123,0),"€ | ",ROUND((BR145*$AY150/1000)*$AW$124,0),"€")</f>
        <v>238€ | 433€</v>
      </c>
    </row>
    <row r="151" spans="3:71">
      <c r="C151" s="1" t="s">
        <v>601</v>
      </c>
      <c r="D151" s="1">
        <v>1200</v>
      </c>
      <c r="AV151"/>
      <c r="AW151"/>
      <c r="AX151"/>
      <c r="AY151" s="51"/>
      <c r="AZ151" s="60"/>
      <c r="BA151" s="52"/>
      <c r="BB151" s="60"/>
      <c r="BC151" s="52"/>
      <c r="BD151" s="60"/>
      <c r="BE151" s="52"/>
      <c r="BF151" s="60"/>
      <c r="BG151" s="52"/>
      <c r="BH151" s="60"/>
      <c r="BI151" s="52"/>
      <c r="BJ151" s="60"/>
      <c r="BK151" s="52"/>
      <c r="BL151" s="60"/>
      <c r="BM151" s="52"/>
      <c r="BN151" s="60"/>
      <c r="BO151" s="52"/>
      <c r="BP151" s="60"/>
      <c r="BQ151" s="52"/>
      <c r="BR151" s="60"/>
      <c r="BS151" s="52"/>
    </row>
    <row r="152" spans="3:71">
      <c r="C152" s="1" t="s">
        <v>583</v>
      </c>
      <c r="D152" s="1">
        <v>1230</v>
      </c>
      <c r="E152" s="1" t="s">
        <v>607</v>
      </c>
      <c r="AV152"/>
      <c r="AW152"/>
      <c r="AX152"/>
      <c r="AY152" s="51"/>
      <c r="AZ152" s="65">
        <v>20500</v>
      </c>
      <c r="BA152" s="63" t="s">
        <v>31</v>
      </c>
      <c r="BB152" s="65">
        <v>21000</v>
      </c>
      <c r="BC152" s="63" t="s">
        <v>31</v>
      </c>
      <c r="BD152" s="65">
        <v>21500</v>
      </c>
      <c r="BE152" s="63" t="s">
        <v>31</v>
      </c>
      <c r="BF152" s="65">
        <v>22000</v>
      </c>
      <c r="BG152" s="63" t="s">
        <v>31</v>
      </c>
      <c r="BH152" s="65">
        <v>22500</v>
      </c>
      <c r="BI152" s="63" t="s">
        <v>31</v>
      </c>
      <c r="BJ152" s="65">
        <v>23000</v>
      </c>
      <c r="BK152" s="63" t="s">
        <v>31</v>
      </c>
      <c r="BL152" s="65">
        <v>23500</v>
      </c>
      <c r="BM152" s="63" t="s">
        <v>31</v>
      </c>
      <c r="BN152" s="65">
        <v>24000</v>
      </c>
      <c r="BO152" s="63" t="s">
        <v>31</v>
      </c>
      <c r="BP152" s="65">
        <v>24500</v>
      </c>
      <c r="BQ152" s="63" t="s">
        <v>31</v>
      </c>
      <c r="BR152" s="65">
        <v>25000</v>
      </c>
      <c r="BS152" s="63" t="s">
        <v>31</v>
      </c>
    </row>
    <row r="153" spans="3:71">
      <c r="C153" s="1" t="s">
        <v>606</v>
      </c>
      <c r="AV153"/>
      <c r="AW153" s="47" t="s">
        <v>191</v>
      </c>
      <c r="AX153" s="47">
        <v>2494</v>
      </c>
      <c r="AY153" s="50">
        <v>0.4</v>
      </c>
      <c r="AZ153" s="59">
        <f>(AZ$152*$AY153)/1000</f>
        <v>8.1999999999999993</v>
      </c>
      <c r="BA153" s="48" t="str">
        <f>CONCATENATE(ROUND(AZ153*$AW$123,0),"€ |",ROUND(AZ153*$AW$124,0),"€")</f>
        <v>451€ |820€</v>
      </c>
      <c r="BB153" s="59">
        <f>(BB$152*$AY153)/1000</f>
        <v>8.4</v>
      </c>
      <c r="BC153" s="48" t="str">
        <f>CONCATENATE(ROUND(BB153*$AW$123,0),"€ |",ROUND(BB153*$AW$124,0),"€")</f>
        <v>462€ |840€</v>
      </c>
      <c r="BD153" s="59">
        <f>(BD$152*$AY153)/1000</f>
        <v>8.6</v>
      </c>
      <c r="BE153" s="48" t="str">
        <f>CONCATENATE(ROUND(BD153*$AW$123,0),"€ |",ROUND(BD153*$AW$124,0),"€")</f>
        <v>473€ |860€</v>
      </c>
      <c r="BF153" s="59">
        <f>(BF$152*$AY153)/1000</f>
        <v>8.8000000000000007</v>
      </c>
      <c r="BG153" s="48" t="str">
        <f>CONCATENATE(ROUND(BF153*$AW$123,0),"€ |",ROUND(BF153*$AW$124,0),"€")</f>
        <v>484€ |880€</v>
      </c>
      <c r="BH153" s="59">
        <f>(BH$152*$AY153)/1000</f>
        <v>9</v>
      </c>
      <c r="BI153" s="48" t="str">
        <f>CONCATENATE(ROUND(BH153*$AW$123,0),"€ |",ROUND(BH153*$AW$124,0),"€")</f>
        <v>495€ |900€</v>
      </c>
      <c r="BJ153" s="59">
        <f>(BJ$152*$AY153)/1000</f>
        <v>9.1999999999999993</v>
      </c>
      <c r="BK153" s="48" t="str">
        <f>CONCATENATE(ROUND(BJ153*$AW$123,0),"€ |",ROUND(BJ153*$AW$124,0),"€")</f>
        <v>506€ |920€</v>
      </c>
      <c r="BL153" s="59">
        <f>(BL$152*$AY153)/1000</f>
        <v>9.4</v>
      </c>
      <c r="BM153" s="48" t="str">
        <f>CONCATENATE(ROUND(BL153*$AW$123,0),"€ |",ROUND(BL153*$AW$124,0),"€")</f>
        <v>517€ |940€</v>
      </c>
      <c r="BN153" s="59">
        <f>(BN$152*$AY153)/1000</f>
        <v>9.6</v>
      </c>
      <c r="BO153" s="48" t="str">
        <f>CONCATENATE(ROUND(BN153*$AW$123,0),"€ |",ROUND(BN153*$AW$124,0),"€")</f>
        <v>528€ |960€</v>
      </c>
      <c r="BP153" s="59">
        <f>(BP$152*$AY153)/1000</f>
        <v>9.8000000000000007</v>
      </c>
      <c r="BQ153" s="48" t="str">
        <f>CONCATENATE(ROUND(BP153*$AW$123,0),"€ |",ROUND(BP153*$AW$124,0),"€")</f>
        <v>539€ |980€</v>
      </c>
      <c r="BR153" s="59">
        <f>(BR$152*$AY153)/1000</f>
        <v>10</v>
      </c>
      <c r="BS153" s="48" t="str">
        <f>CONCATENATE(ROUND(BR153*$AW$123,0),"€ |",ROUND(BR153*$AW$124,0),"€")</f>
        <v>550€ |1000€</v>
      </c>
    </row>
    <row r="154" spans="3:71">
      <c r="AV154"/>
      <c r="AW154" s="47" t="s">
        <v>154</v>
      </c>
      <c r="AX154" s="47">
        <v>5497</v>
      </c>
      <c r="AY154" s="50">
        <v>0.18</v>
      </c>
      <c r="AZ154" s="59">
        <f>(AZ$152*$AY154)/1000</f>
        <v>3.69</v>
      </c>
      <c r="BA154" s="48" t="str">
        <f>CONCATENATE(ROUND(AZ154*$AW$123,0),"€ |",ROUND(AZ154*$AW$124,0),"€")</f>
        <v>203€ |369€</v>
      </c>
      <c r="BB154" s="59">
        <f>(BB$152*$AY154)/1000</f>
        <v>3.78</v>
      </c>
      <c r="BC154" s="48" t="str">
        <f>CONCATENATE(ROUND(BB154*$AW$123,0),"€ |",ROUND(BB154*$AW$124,0),"€")</f>
        <v>208€ |378€</v>
      </c>
      <c r="BD154" s="59">
        <f>(BD$152*$AY154)/1000</f>
        <v>3.87</v>
      </c>
      <c r="BE154" s="48" t="str">
        <f>CONCATENATE(ROUND(BD154*$AW$123,0),"€ |",ROUND(BD154*$AW$124,0),"€")</f>
        <v>213€ |387€</v>
      </c>
      <c r="BF154" s="59">
        <f>(BF$152*$AY154)/1000</f>
        <v>3.96</v>
      </c>
      <c r="BG154" s="48" t="str">
        <f>CONCATENATE(ROUND(BF154*$AW$123,0),"€ |",ROUND(BF154*$AW$124,0),"€")</f>
        <v>218€ |396€</v>
      </c>
      <c r="BH154" s="59">
        <f>(BH$152*$AY154)/1000</f>
        <v>4.05</v>
      </c>
      <c r="BI154" s="48" t="str">
        <f>CONCATENATE(ROUND(BH154*$AW$123,0),"€ |",ROUND(BH154*$AW$124,0),"€")</f>
        <v>223€ |405€</v>
      </c>
      <c r="BJ154" s="59">
        <f>(BJ$152*$AY154)/1000</f>
        <v>4.1399999999999997</v>
      </c>
      <c r="BK154" s="48" t="str">
        <f>CONCATENATE(ROUND(BJ154*$AW$123,0),"€ |",ROUND(BJ154*$AW$124,0),"€")</f>
        <v>228€ |414€</v>
      </c>
      <c r="BL154" s="59">
        <f>(BL$152*$AY154)/1000</f>
        <v>4.2300000000000004</v>
      </c>
      <c r="BM154" s="48" t="str">
        <f>CONCATENATE(ROUND(BL154*$AW$123,0),"€ |",ROUND(BL154*$AW$124,0),"€")</f>
        <v>233€ |423€</v>
      </c>
      <c r="BN154" s="59">
        <f>(BN$152*$AY154)/1000</f>
        <v>4.32</v>
      </c>
      <c r="BO154" s="48" t="str">
        <f>CONCATENATE(ROUND(BN154*$AW$123,0),"€ |",ROUND(BN154*$AW$124,0),"€")</f>
        <v>238€ |432€</v>
      </c>
      <c r="BP154" s="59">
        <f>(BP$152*$AY154)/1000</f>
        <v>4.41</v>
      </c>
      <c r="BQ154" s="48" t="str">
        <f>CONCATENATE(ROUND(BP154*$AW$123,0),"€ |",ROUND(BP154*$AW$124,0),"€")</f>
        <v>243€ |441€</v>
      </c>
      <c r="BR154" s="59">
        <f>(BR$152*$AY154)/1000</f>
        <v>4.5</v>
      </c>
      <c r="BS154" s="48" t="str">
        <f>CONCATENATE(ROUND(BR154*$AW$123,0),"€ |",ROUND(BR154*$AW$124,0),"€")</f>
        <v>248€ |450€</v>
      </c>
    </row>
    <row r="155" spans="3:71">
      <c r="AV155"/>
      <c r="AW155" s="47" t="s">
        <v>236</v>
      </c>
      <c r="AX155" s="47">
        <v>3740</v>
      </c>
      <c r="AY155" s="50">
        <v>0.27</v>
      </c>
      <c r="AZ155" s="59" t="str">
        <f>CONCATENATE(AZ152/10,"L;",ROUND((AZ$139*$AY155)/1000,1),"t")</f>
        <v>2050L;2,8t</v>
      </c>
      <c r="BA155" s="49" t="str">
        <f>CONCATENATE(ROUND((AZ152*$AY155/1000)*$AW$123,0),"€ | ",ROUND((AZ152*$AY155/1000)*$AW$124,0),"€")</f>
        <v>304€ | 554€</v>
      </c>
      <c r="BB155" s="59" t="str">
        <f>CONCATENATE(BB152/10,"L;",ROUND((BB$139*$AY155)/1000,1),"t")</f>
        <v>2100L;3t</v>
      </c>
      <c r="BC155" s="49" t="str">
        <f>CONCATENATE(ROUND((BB152*$AY155/1000)*$AW$123,0),"€ | ",ROUND((BB152*$AY155/1000)*$AW$124,0),"€")</f>
        <v>312€ | 567€</v>
      </c>
      <c r="BD155" s="59" t="str">
        <f>CONCATENATE(BD152/10,"L;",ROUND((BD$139*$AY155)/1000,1),"t")</f>
        <v>2150L;3,1t</v>
      </c>
      <c r="BE155" s="49" t="str">
        <f>CONCATENATE(ROUND((BD152*$AY155/1000)*$AW$123,0),"€ | ",ROUND((BD152*$AY155/1000)*$AW$124,0),"€")</f>
        <v>319€ | 581€</v>
      </c>
      <c r="BF155" s="59" t="str">
        <f>CONCATENATE(BF152/10,"L;",ROUND((BF$139*$AY155)/1000,1),"t")</f>
        <v>2200L;3,2t</v>
      </c>
      <c r="BG155" s="49" t="str">
        <f>CONCATENATE(ROUND((BF152*$AY155/1000)*$AW$123,0),"€ | ",ROUND((BF152*$AY155/1000)*$AW$124,0),"€")</f>
        <v>327€ | 594€</v>
      </c>
      <c r="BH155" s="59" t="str">
        <f>CONCATENATE(BH152/10,"L;",ROUND((BH$139*$AY155)/1000,1),"t")</f>
        <v>2250L;3,4t</v>
      </c>
      <c r="BI155" s="49" t="str">
        <f>CONCATENATE(ROUND((BH152*$AY155/1000)*$AW$123,0),"€ | ",ROUND((BH152*$AY155/1000)*$AW$124,0),"€")</f>
        <v>334€ | 608€</v>
      </c>
      <c r="BJ155" s="59" t="str">
        <f>CONCATENATE(BJ152/10,"L;",ROUND((BJ$139*$AY155)/1000,1),"t")</f>
        <v>2300L;3,5t</v>
      </c>
      <c r="BK155" s="49" t="str">
        <f>CONCATENATE(ROUND((BJ152*$AY155/1000)*$AW$123,0),"€ | ",ROUND((BJ152*$AY155/1000)*$AW$124,0),"€")</f>
        <v>342€ | 621€</v>
      </c>
      <c r="BL155" s="59" t="str">
        <f>CONCATENATE(BL152/10,"L;",ROUND((BL$139*$AY155)/1000,1),"t")</f>
        <v>2350L;3,6t</v>
      </c>
      <c r="BM155" s="49" t="str">
        <f>CONCATENATE(ROUND((BL152*$AY155/1000)*$AW$123,0),"€ | ",ROUND((BL152*$AY155/1000)*$AW$124,0),"€")</f>
        <v>349€ | 635€</v>
      </c>
      <c r="BN155" s="59" t="str">
        <f>CONCATENATE(BN152/10,"L;",ROUND((BN$139*$AY155)/1000,1),"t")</f>
        <v>2400L;3,8t</v>
      </c>
      <c r="BO155" s="49" t="str">
        <f>CONCATENATE(ROUND((BN152*$AY155/1000)*$AW$123,0),"€ | ",ROUND((BN152*$AY155/1000)*$AW$124,0),"€")</f>
        <v>356€ | 648€</v>
      </c>
      <c r="BP155" s="59" t="str">
        <f>CONCATENATE(BP152/10,"L;",ROUND((BP$139*$AY155)/1000,1),"t")</f>
        <v>2450L;3,9t</v>
      </c>
      <c r="BQ155" s="49" t="str">
        <f>CONCATENATE(ROUND((BP152*$AY155/1000)*$AW$123,0),"€ | ",ROUND((BP152*$AY155/1000)*$AW$124,0),"€")</f>
        <v>364€ | 662€</v>
      </c>
      <c r="BR155" s="59" t="str">
        <f>CONCATENATE(BR152/10,"L;",ROUND((BR$139*$AY155)/1000,1),"t")</f>
        <v>2500L;4,1t</v>
      </c>
      <c r="BS155" s="49" t="str">
        <f>CONCATENATE(ROUND((BR152*$AY155/1000)*$AW$123,0),"€ | ",ROUND((BR152*$AY155/1000)*$AW$124,0),"€")</f>
        <v>371€ | 675€</v>
      </c>
    </row>
    <row r="156" spans="3:71">
      <c r="AV156"/>
      <c r="AW156" s="47" t="s">
        <v>192</v>
      </c>
      <c r="AX156" s="47">
        <v>330</v>
      </c>
      <c r="AY156" s="50">
        <f>3.03/14</f>
        <v>0.21642857142857141</v>
      </c>
      <c r="AZ156" s="59" t="str">
        <f>CONCATENATE(ROUND(AZ152/14,0),"kg;",ROUND((AZ152*$AY156)/1000,1),"t")</f>
        <v>1464kg;4,4t</v>
      </c>
      <c r="BA156" s="49" t="str">
        <f>CONCATENATE(ROUND((AZ152*$AY156/1000)*$AW$123,0),"€ | ",ROUND((AZ152*$AY156/1000)*$AW$124,0),"€")</f>
        <v>244€ | 444€</v>
      </c>
      <c r="BB156" s="59" t="str">
        <f>CONCATENATE(ROUND(BB152/14,0),"kg;",ROUND((BB152*$AY156)/1000,1),"t")</f>
        <v>1500kg;4,5t</v>
      </c>
      <c r="BC156" s="49" t="str">
        <f>CONCATENATE(ROUND((BB152*$AY156/1000)*$AW$123,0),"€ | ",ROUND((BB152*$AY156/1000)*$AW$124,0),"€")</f>
        <v>250€ | 455€</v>
      </c>
      <c r="BD156" s="59" t="str">
        <f>CONCATENATE(ROUND(BD152/14,0),"kg;",ROUND((BD152*$AY156)/1000,1),"t")</f>
        <v>1536kg;4,7t</v>
      </c>
      <c r="BE156" s="49" t="str">
        <f>CONCATENATE(ROUND((BD152*$AY156/1000)*$AW$123,0),"€ | ",ROUND((BD152*$AY156/1000)*$AW$124,0),"€")</f>
        <v>256€ | 465€</v>
      </c>
      <c r="BF156" s="59" t="str">
        <f>CONCATENATE(ROUND(BF152/14,0),"kg;",ROUND((BF152*$AY156)/1000,1),"t")</f>
        <v>1571kg;4,8t</v>
      </c>
      <c r="BG156" s="49" t="str">
        <f>CONCATENATE(ROUND((BF152*$AY156/1000)*$AW$123,0),"€ | ",ROUND((BF152*$AY156/1000)*$AW$124,0),"€")</f>
        <v>262€ | 476€</v>
      </c>
      <c r="BH156" s="59" t="str">
        <f>CONCATENATE(ROUND(BH152/14,0),"kg;",ROUND((BH152*$AY156)/1000,1),"t")</f>
        <v>1607kg;4,9t</v>
      </c>
      <c r="BI156" s="49" t="str">
        <f>CONCATENATE(ROUND((BH152*$AY156/1000)*$AW$123,0),"€ | ",ROUND((BH152*$AY156/1000)*$AW$124,0),"€")</f>
        <v>268€ | 487€</v>
      </c>
      <c r="BJ156" s="59" t="str">
        <f>CONCATENATE(ROUND(BJ152/14,0),"kg;",ROUND((BJ152*$AY156)/1000,1),"t")</f>
        <v>1643kg;5t</v>
      </c>
      <c r="BK156" s="49" t="str">
        <f>CONCATENATE(ROUND((BJ152*$AY156/1000)*$AW$123,0),"€ | ",ROUND((BJ152*$AY156/1000)*$AW$124,0),"€")</f>
        <v>274€ | 498€</v>
      </c>
      <c r="BL156" s="59" t="str">
        <f>CONCATENATE(ROUND(BL152/14,0),"kg;",ROUND((BL152*$AY156)/1000,1),"t")</f>
        <v>1679kg;5,1t</v>
      </c>
      <c r="BM156" s="49" t="str">
        <f>CONCATENATE(ROUND((BL152*$AY156/1000)*$AW$123,0),"€ | ",ROUND((BL152*$AY156/1000)*$AW$124,0),"€")</f>
        <v>280€ | 509€</v>
      </c>
      <c r="BN156" s="59" t="str">
        <f>CONCATENATE(ROUND(BN152/14,0),"kg;",ROUND((BN152*$AY156)/1000,1),"t")</f>
        <v>1714kg;5,2t</v>
      </c>
      <c r="BO156" s="49" t="str">
        <f>CONCATENATE(ROUND((BN152*$AY156/1000)*$AW$123,0),"€ | ",ROUND((BN152*$AY156/1000)*$AW$124,0),"€")</f>
        <v>286€ | 519€</v>
      </c>
      <c r="BP156" s="59" t="str">
        <f>CONCATENATE(ROUND(BP152/14,0),"kg;",ROUND((BP152*$AY156)/1000,1),"t")</f>
        <v>1750kg;5,3t</v>
      </c>
      <c r="BQ156" s="49" t="str">
        <f>CONCATENATE(ROUND((BP152*$AY156/1000)*$AW$123,0),"€ | ",ROUND((BP152*$AY156/1000)*$AW$124,0),"€")</f>
        <v>292€ | 530€</v>
      </c>
      <c r="BR156" s="59" t="str">
        <f>CONCATENATE(ROUND(BR152/14,0),"kg;",ROUND((BR152*$AY156)/1000,1),"t")</f>
        <v>1786kg;5,4t</v>
      </c>
      <c r="BS156" s="49" t="str">
        <f>CONCATENATE(ROUND((BR152*$AY156/1000)*$AW$123,0),"€ | ",ROUND((BR152*$AY156/1000)*$AW$124,0),"€")</f>
        <v>298€ | 541€</v>
      </c>
    </row>
    <row r="157" spans="3:71">
      <c r="AV157"/>
      <c r="AW157"/>
      <c r="AX157"/>
      <c r="AY157" s="51"/>
      <c r="AZ157" s="60"/>
      <c r="BA157" s="52"/>
      <c r="BB157" s="60"/>
      <c r="BC157" s="52"/>
      <c r="BD157" s="60"/>
      <c r="BE157" s="52"/>
      <c r="BF157" s="60"/>
      <c r="BG157" s="52"/>
      <c r="BH157" s="60"/>
      <c r="BI157" s="52"/>
      <c r="BJ157" s="60"/>
      <c r="BK157" s="52"/>
      <c r="BL157" s="60"/>
      <c r="BM157" s="52"/>
      <c r="BN157" s="60"/>
      <c r="BO157" s="52"/>
      <c r="BP157" s="60"/>
      <c r="BQ157" s="52"/>
      <c r="BR157" s="60"/>
      <c r="BS157" s="52"/>
    </row>
    <row r="158" spans="3:71">
      <c r="AV158"/>
      <c r="AW158"/>
      <c r="AX158"/>
      <c r="AY158" s="51"/>
      <c r="AZ158" s="65">
        <v>25500</v>
      </c>
      <c r="BA158" s="63" t="s">
        <v>31</v>
      </c>
      <c r="BB158" s="65">
        <v>26000</v>
      </c>
      <c r="BC158" s="63" t="s">
        <v>31</v>
      </c>
      <c r="BD158" s="65">
        <v>26500</v>
      </c>
      <c r="BE158" s="63" t="s">
        <v>31</v>
      </c>
      <c r="BF158" s="65">
        <v>27000</v>
      </c>
      <c r="BG158" s="63" t="s">
        <v>31</v>
      </c>
      <c r="BH158" s="65">
        <v>27500</v>
      </c>
      <c r="BI158" s="63" t="s">
        <v>31</v>
      </c>
      <c r="BJ158" s="65">
        <v>28000</v>
      </c>
      <c r="BK158" s="63" t="s">
        <v>31</v>
      </c>
      <c r="BL158" s="65">
        <v>28500</v>
      </c>
      <c r="BM158" s="63" t="s">
        <v>31</v>
      </c>
      <c r="BN158" s="65">
        <v>29000</v>
      </c>
      <c r="BO158" s="63" t="s">
        <v>31</v>
      </c>
      <c r="BP158" s="65">
        <v>29500</v>
      </c>
      <c r="BQ158" s="63" t="s">
        <v>31</v>
      </c>
      <c r="BR158" s="65">
        <v>30000</v>
      </c>
      <c r="BS158" s="63" t="s">
        <v>31</v>
      </c>
    </row>
    <row r="159" spans="3:71">
      <c r="AV159"/>
      <c r="AW159" s="47" t="s">
        <v>191</v>
      </c>
      <c r="AX159" s="47">
        <v>2494</v>
      </c>
      <c r="AY159" s="50">
        <v>0.4</v>
      </c>
      <c r="AZ159" s="59">
        <f>(AZ$158*$AY159)/1000</f>
        <v>10.199999999999999</v>
      </c>
      <c r="BA159" s="48" t="str">
        <f>CONCATENATE(ROUND(AZ159*$AW$123,0),"€ |",ROUND(AZ159*$AW$124,0),"€")</f>
        <v>561€ |1020€</v>
      </c>
      <c r="BB159" s="59">
        <f>(BB$158*$AY159)/1000</f>
        <v>10.4</v>
      </c>
      <c r="BC159" s="48" t="str">
        <f>CONCATENATE(ROUND(BB159*$AW$123,0),"€ |",ROUND(BB159*$AW$124,0),"€")</f>
        <v>572€ |1040€</v>
      </c>
      <c r="BD159" s="59">
        <f>(BD$158*$AY159)/1000</f>
        <v>10.6</v>
      </c>
      <c r="BE159" s="48" t="str">
        <f>CONCATENATE(ROUND(BD159*$AW$123,0),"€ |",ROUND(BD159*$AW$124,0),"€")</f>
        <v>583€ |1060€</v>
      </c>
      <c r="BF159" s="59">
        <f>(BF$158*$AY159)/1000</f>
        <v>10.8</v>
      </c>
      <c r="BG159" s="48" t="str">
        <f>CONCATENATE(ROUND(BF159*$AW$123,0),"€ |",ROUND(BF159*$AW$124,0),"€")</f>
        <v>594€ |1080€</v>
      </c>
      <c r="BH159" s="59">
        <f>(BH$158*$AY159)/1000</f>
        <v>11</v>
      </c>
      <c r="BI159" s="48" t="str">
        <f>CONCATENATE(ROUND(BH159*$AW$123,0),"€ |",ROUND(BH159*$AW$124,0),"€")</f>
        <v>605€ |1100€</v>
      </c>
      <c r="BJ159" s="59">
        <f>(BJ$158*$AY159)/1000</f>
        <v>11.2</v>
      </c>
      <c r="BK159" s="48" t="str">
        <f>CONCATENATE(ROUND(BJ159*$AW$123,0),"€ |",ROUND(BJ159*$AW$124,0),"€")</f>
        <v>616€ |1120€</v>
      </c>
      <c r="BL159" s="59">
        <f>(BL$158*$AY159)/1000</f>
        <v>11.4</v>
      </c>
      <c r="BM159" s="48" t="str">
        <f>CONCATENATE(ROUND(BL159*$AW$123,0),"€ |",ROUND(BL159*$AW$124,0),"€")</f>
        <v>627€ |1140€</v>
      </c>
      <c r="BN159" s="59">
        <f>(BN$158*$AY159)/1000</f>
        <v>11.6</v>
      </c>
      <c r="BO159" s="48" t="str">
        <f>CONCATENATE(ROUND(BN159*$AW$123,0),"€ |",ROUND(BN159*$AW$124,0),"€")</f>
        <v>638€ |1160€</v>
      </c>
      <c r="BP159" s="59">
        <f>(BP$158*$AY159)/1000</f>
        <v>11.8</v>
      </c>
      <c r="BQ159" s="48" t="str">
        <f>CONCATENATE(ROUND(BP159*$AW$123,0),"€ |",ROUND(BP159*$AW$124,0),"€")</f>
        <v>649€ |1180€</v>
      </c>
      <c r="BR159" s="59">
        <f>(BR$158*$AY159)/1000</f>
        <v>12</v>
      </c>
      <c r="BS159" s="48" t="str">
        <f>CONCATENATE(ROUND(BR159*$AW$123,0),"€ |",ROUND(BR159*$AW$124,0),"€")</f>
        <v>660€ |1200€</v>
      </c>
    </row>
    <row r="160" spans="3:71">
      <c r="AV160"/>
      <c r="AW160" s="47" t="s">
        <v>154</v>
      </c>
      <c r="AX160" s="47">
        <v>5497</v>
      </c>
      <c r="AY160" s="50">
        <v>0.18</v>
      </c>
      <c r="AZ160" s="59">
        <f>(AZ$158*$AY160)/1000</f>
        <v>4.59</v>
      </c>
      <c r="BA160" s="48" t="str">
        <f>CONCATENATE(ROUND(AZ160*$AW$123,0),"€ |",ROUND(AZ160*$AW$124,0),"€")</f>
        <v>252€ |459€</v>
      </c>
      <c r="BB160" s="59">
        <f>(BB$158*$AY160)/1000</f>
        <v>4.68</v>
      </c>
      <c r="BC160" s="48" t="str">
        <f>CONCATENATE(ROUND(BB160*$AW$123,0),"€ |",ROUND(BB160*$AW$124,0),"€")</f>
        <v>257€ |468€</v>
      </c>
      <c r="BD160" s="59">
        <f>(BD$158*$AY160)/1000</f>
        <v>4.7699999999999996</v>
      </c>
      <c r="BE160" s="48" t="str">
        <f>CONCATENATE(ROUND(BD160*$AW$123,0),"€ |",ROUND(BD160*$AW$124,0),"€")</f>
        <v>262€ |477€</v>
      </c>
      <c r="BF160" s="59">
        <f>(BF$158*$AY160)/1000</f>
        <v>4.8600000000000003</v>
      </c>
      <c r="BG160" s="48" t="str">
        <f>CONCATENATE(ROUND(BF160*$AW$123,0),"€ |",ROUND(BF160*$AW$124,0),"€")</f>
        <v>267€ |486€</v>
      </c>
      <c r="BH160" s="59">
        <f>(BH$158*$AY160)/1000</f>
        <v>4.95</v>
      </c>
      <c r="BI160" s="48" t="str">
        <f>CONCATENATE(ROUND(BH160*$AW$123,0),"€ |",ROUND(BH160*$AW$124,0),"€")</f>
        <v>272€ |495€</v>
      </c>
      <c r="BJ160" s="59">
        <f>(BJ$158*$AY160)/1000</f>
        <v>5.04</v>
      </c>
      <c r="BK160" s="48" t="str">
        <f>CONCATENATE(ROUND(BJ160*$AW$123,0),"€ |",ROUND(BJ160*$AW$124,0),"€")</f>
        <v>277€ |504€</v>
      </c>
      <c r="BL160" s="59">
        <f>(BL$158*$AY160)/1000</f>
        <v>5.13</v>
      </c>
      <c r="BM160" s="48" t="str">
        <f>CONCATENATE(ROUND(BL160*$AW$123,0),"€ |",ROUND(BL160*$AW$124,0),"€")</f>
        <v>282€ |513€</v>
      </c>
      <c r="BN160" s="59">
        <f>(BN$158*$AY160)/1000</f>
        <v>5.22</v>
      </c>
      <c r="BO160" s="48" t="str">
        <f>CONCATENATE(ROUND(BN160*$AW$123,0),"€ |",ROUND(BN160*$AW$124,0),"€")</f>
        <v>287€ |522€</v>
      </c>
      <c r="BP160" s="59">
        <f>(BP$158*$AY160)/1000</f>
        <v>5.31</v>
      </c>
      <c r="BQ160" s="48" t="str">
        <f>CONCATENATE(ROUND(BP160*$AW$123,0),"€ |",ROUND(BP160*$AW$124,0),"€")</f>
        <v>292€ |531€</v>
      </c>
      <c r="BR160" s="59">
        <f>(BR$158*$AY160)/1000</f>
        <v>5.4</v>
      </c>
      <c r="BS160" s="48" t="str">
        <f>CONCATENATE(ROUND(BR160*$AW$123,0),"€ |",ROUND(BR160*$AW$124,0),"€")</f>
        <v>297€ |540€</v>
      </c>
    </row>
    <row r="161" spans="48:71">
      <c r="AV161"/>
      <c r="AW161" s="47" t="s">
        <v>236</v>
      </c>
      <c r="AX161" s="47">
        <v>3740</v>
      </c>
      <c r="AY161" s="50">
        <v>0.27</v>
      </c>
      <c r="AZ161" s="59" t="str">
        <f>CONCATENATE(AZ158/10,"L;",ROUND((AZ$139*$AY161)/1000,1),"t")</f>
        <v>2550L;2,8t</v>
      </c>
      <c r="BA161" s="49" t="str">
        <f>CONCATENATE(ROUND((AZ158*$AY161/1000)*$AW$123,0),"€ | ",ROUND((AZ158*$AY161/1000)*$AW$124,0),"€")</f>
        <v>379€ | 689€</v>
      </c>
      <c r="BB161" s="59" t="str">
        <f>CONCATENATE(BB158/10,"L;",ROUND((BB$139*$AY161)/1000,1),"t")</f>
        <v>2600L;3t</v>
      </c>
      <c r="BC161" s="49" t="str">
        <f>CONCATENATE(ROUND((BB158*$AY161/1000)*$AW$123,0),"€ | ",ROUND((BB158*$AY161/1000)*$AW$124,0),"€")</f>
        <v>386€ | 702€</v>
      </c>
      <c r="BD161" s="59" t="str">
        <f>CONCATENATE(BD158/10,"L;",ROUND((BD$139*$AY161)/1000,1),"t")</f>
        <v>2650L;3,1t</v>
      </c>
      <c r="BE161" s="49" t="str">
        <f>CONCATENATE(ROUND((BD158*$AY161/1000)*$AW$123,0),"€ | ",ROUND((BD158*$AY161/1000)*$AW$124,0),"€")</f>
        <v>394€ | 716€</v>
      </c>
      <c r="BF161" s="59" t="str">
        <f>CONCATENATE(BF158/10,"L;",ROUND((BF$139*$AY161)/1000,1),"t")</f>
        <v>2700L;3,2t</v>
      </c>
      <c r="BG161" s="49" t="str">
        <f>CONCATENATE(ROUND((BF158*$AY161/1000)*$AW$123,0),"€ | ",ROUND((BF158*$AY161/1000)*$AW$124,0),"€")</f>
        <v>401€ | 729€</v>
      </c>
      <c r="BH161" s="59" t="str">
        <f>CONCATENATE(BH158/10,"L;",ROUND((BH$139*$AY161)/1000,1),"t")</f>
        <v>2750L;3,4t</v>
      </c>
      <c r="BI161" s="49" t="str">
        <f>CONCATENATE(ROUND((BH158*$AY161/1000)*$AW$123,0),"€ | ",ROUND((BH158*$AY161/1000)*$AW$124,0),"€")</f>
        <v>408€ | 743€</v>
      </c>
      <c r="BJ161" s="59" t="str">
        <f>CONCATENATE(BJ158/10,"L;",ROUND((BJ$139*$AY161)/1000,1),"t")</f>
        <v>2800L;3,5t</v>
      </c>
      <c r="BK161" s="49" t="str">
        <f>CONCATENATE(ROUND((BJ158*$AY161/1000)*$AW$123,0),"€ | ",ROUND((BJ158*$AY161/1000)*$AW$124,0),"€")</f>
        <v>416€ | 756€</v>
      </c>
      <c r="BL161" s="59" t="str">
        <f>CONCATENATE(BL158/10,"L;",ROUND((BL$139*$AY161)/1000,1),"t")</f>
        <v>2850L;3,6t</v>
      </c>
      <c r="BM161" s="49" t="str">
        <f>CONCATENATE(ROUND((BL158*$AY161/1000)*$AW$123,0),"€ | ",ROUND((BL158*$AY161/1000)*$AW$124,0),"€")</f>
        <v>423€ | 770€</v>
      </c>
      <c r="BN161" s="59" t="str">
        <f>CONCATENATE(BN158/10,"L;",ROUND((BN$139*$AY161)/1000,1),"t")</f>
        <v>2900L;3,8t</v>
      </c>
      <c r="BO161" s="49" t="str">
        <f>CONCATENATE(ROUND((BN158*$AY161/1000)*$AW$123,0),"€ | ",ROUND((BN158*$AY161/1000)*$AW$124,0),"€")</f>
        <v>431€ | 783€</v>
      </c>
      <c r="BP161" s="59" t="str">
        <f>CONCATENATE(BP158/10,"L;",ROUND((BP$139*$AY161)/1000,1),"t")</f>
        <v>2950L;3,9t</v>
      </c>
      <c r="BQ161" s="49" t="str">
        <f>CONCATENATE(ROUND((BP158*$AY161/1000)*$AW$123,0),"€ | ",ROUND((BP158*$AY161/1000)*$AW$124,0),"€")</f>
        <v>438€ | 797€</v>
      </c>
      <c r="BR161" s="59" t="str">
        <f>CONCATENATE(BR158/10,"L;",ROUND((BR$139*$AY161)/1000,1),"t")</f>
        <v>3000L;4,1t</v>
      </c>
      <c r="BS161" s="49" t="str">
        <f>CONCATENATE(ROUND((BR158*$AY161/1000)*$AW$123,0),"€ | ",ROUND((BR158*$AY161/1000)*$AW$124,0),"€")</f>
        <v>446€ | 810€</v>
      </c>
    </row>
    <row r="162" spans="48:71">
      <c r="AV162"/>
      <c r="AW162" s="47" t="s">
        <v>192</v>
      </c>
      <c r="AX162" s="47">
        <v>330</v>
      </c>
      <c r="AY162" s="50">
        <f>3.03/14</f>
        <v>0.21642857142857141</v>
      </c>
      <c r="AZ162" s="59" t="str">
        <f>CONCATENATE(ROUND(AZ158/14,0),"kg;",ROUND((AZ158*$AY162)/1000,1),"t")</f>
        <v>1821kg;5,5t</v>
      </c>
      <c r="BA162" s="49" t="str">
        <f>CONCATENATE(ROUND((AZ158*$AY162/1000)*$AW$123,0),"€ | ",ROUND((AZ158*$AY162/1000)*$AW$124,0),"€")</f>
        <v>304€ | 552€</v>
      </c>
      <c r="BB162" s="59" t="str">
        <f>CONCATENATE(ROUND(BB158/14,0),"kg;",ROUND((BB158*$AY162)/1000,1),"t")</f>
        <v>1857kg;5,6t</v>
      </c>
      <c r="BC162" s="49" t="str">
        <f>CONCATENATE(ROUND((BB158*$AY162/1000)*$AW$123,0),"€ | ",ROUND((BB158*$AY162/1000)*$AW$124,0),"€")</f>
        <v>309€ | 563€</v>
      </c>
      <c r="BD162" s="59" t="str">
        <f>CONCATENATE(ROUND(BD158/14,0),"kg;",ROUND((BD158*$AY162)/1000,1),"t")</f>
        <v>1893kg;5,7t</v>
      </c>
      <c r="BE162" s="49" t="str">
        <f>CONCATENATE(ROUND((BD158*$AY162/1000)*$AW$123,0),"€ | ",ROUND((BD158*$AY162/1000)*$AW$124,0),"€")</f>
        <v>315€ | 574€</v>
      </c>
      <c r="BF162" s="59" t="str">
        <f>CONCATENATE(ROUND(BF158/14,0),"kg;",ROUND((BF158*$AY162)/1000,1),"t")</f>
        <v>1929kg;5,8t</v>
      </c>
      <c r="BG162" s="49" t="str">
        <f>CONCATENATE(ROUND((BF158*$AY162/1000)*$AW$123,0),"€ | ",ROUND((BF158*$AY162/1000)*$AW$124,0),"€")</f>
        <v>321€ | 584€</v>
      </c>
      <c r="BH162" s="59" t="str">
        <f>CONCATENATE(ROUND(BH158/14,0),"kg;",ROUND((BH158*$AY162)/1000,1),"t")</f>
        <v>1964kg;6t</v>
      </c>
      <c r="BI162" s="49" t="str">
        <f>CONCATENATE(ROUND((BH158*$AY162/1000)*$AW$123,0),"€ | ",ROUND((BH158*$AY162/1000)*$AW$124,0),"€")</f>
        <v>327€ | 595€</v>
      </c>
      <c r="BJ162" s="59" t="str">
        <f>CONCATENATE(ROUND(BJ158/14,0),"kg;",ROUND((BJ158*$AY162)/1000,1),"t")</f>
        <v>2000kg;6,1t</v>
      </c>
      <c r="BK162" s="49" t="str">
        <f>CONCATENATE(ROUND((BJ158*$AY162/1000)*$AW$123,0),"€ | ",ROUND((BJ158*$AY162/1000)*$AW$124,0),"€")</f>
        <v>333€ | 606€</v>
      </c>
      <c r="BL162" s="59" t="str">
        <f>CONCATENATE(ROUND(BL158/14,0),"kg;",ROUND((BL158*$AY162)/1000,1),"t")</f>
        <v>2036kg;6,2t</v>
      </c>
      <c r="BM162" s="49" t="str">
        <f>CONCATENATE(ROUND((BL158*$AY162/1000)*$AW$123,0),"€ | ",ROUND((BL158*$AY162/1000)*$AW$124,0),"€")</f>
        <v>339€ | 617€</v>
      </c>
      <c r="BN162" s="59" t="str">
        <f>CONCATENATE(ROUND(BN158/14,0),"kg;",ROUND((BN158*$AY162)/1000,1),"t")</f>
        <v>2071kg;6,3t</v>
      </c>
      <c r="BO162" s="49" t="str">
        <f>CONCATENATE(ROUND((BN158*$AY162/1000)*$AW$123,0),"€ | ",ROUND((BN158*$AY162/1000)*$AW$124,0),"€")</f>
        <v>345€ | 628€</v>
      </c>
      <c r="BP162" s="59" t="str">
        <f>CONCATENATE(ROUND(BP158/14,0),"kg;",ROUND((BP158*$AY162)/1000,1),"t")</f>
        <v>2107kg;6,4t</v>
      </c>
      <c r="BQ162" s="49" t="str">
        <f>CONCATENATE(ROUND((BP158*$AY162/1000)*$AW$123,0),"€ | ",ROUND((BP158*$AY162/1000)*$AW$124,0),"€")</f>
        <v>351€ | 638€</v>
      </c>
      <c r="BR162" s="59" t="str">
        <f>CONCATENATE(ROUND(BR158/14,0),"kg;",ROUND((BR158*$AY162)/1000,1),"t")</f>
        <v>2143kg;6,5t</v>
      </c>
      <c r="BS162" s="49" t="str">
        <f>CONCATENATE(ROUND((BR158*$AY162/1000)*$AW$123,0),"€ | ",ROUND((BR158*$AY162/1000)*$AW$124,0),"€")</f>
        <v>357€ | 649€</v>
      </c>
    </row>
    <row r="163" spans="48:71">
      <c r="AV163"/>
      <c r="AW163"/>
      <c r="AX163"/>
      <c r="AY163"/>
      <c r="AZ163" s="15"/>
      <c r="BA163"/>
      <c r="BB163" s="15"/>
      <c r="BC163"/>
      <c r="BD163" s="15"/>
      <c r="BE163"/>
      <c r="BF163" s="15"/>
      <c r="BG163"/>
      <c r="BH163" s="15"/>
      <c r="BI163"/>
      <c r="BJ163" s="15"/>
      <c r="BK163"/>
      <c r="BL163" s="15"/>
      <c r="BM163"/>
      <c r="BN163" s="15"/>
      <c r="BO163"/>
      <c r="BP163" s="15"/>
      <c r="BQ163"/>
      <c r="BR163" s="15"/>
      <c r="BS163"/>
    </row>
    <row r="164" spans="48:71">
      <c r="AV164"/>
      <c r="AW164"/>
      <c r="AX164"/>
      <c r="AY164"/>
      <c r="AZ164" s="15"/>
      <c r="BA164"/>
      <c r="BB164" s="15"/>
      <c r="BC164"/>
      <c r="BD164" s="15"/>
      <c r="BE164"/>
      <c r="BF164" s="15"/>
      <c r="BG164"/>
      <c r="BH164" s="15"/>
      <c r="BI164"/>
      <c r="BJ164" s="15"/>
      <c r="BK164"/>
      <c r="BL164" s="15"/>
      <c r="BM164"/>
      <c r="BN164" s="15"/>
      <c r="BO164"/>
      <c r="BP164" s="15"/>
      <c r="BQ164"/>
      <c r="BR164" s="15"/>
      <c r="BS164" s="48"/>
    </row>
    <row r="165" spans="48:71">
      <c r="AV165"/>
      <c r="AW165"/>
      <c r="AX165"/>
      <c r="AY165"/>
      <c r="AZ165" s="15"/>
      <c r="BA165"/>
      <c r="BB165" s="15"/>
      <c r="BC165"/>
      <c r="BD165" s="15"/>
      <c r="BE165"/>
      <c r="BF165" s="15"/>
      <c r="BG165"/>
      <c r="BH165" s="15"/>
      <c r="BI165"/>
      <c r="BJ165" s="15"/>
      <c r="BK165"/>
      <c r="BL165" s="15"/>
      <c r="BM165"/>
      <c r="BN165" s="15"/>
      <c r="BO165"/>
      <c r="BP165" s="15"/>
      <c r="BQ165"/>
      <c r="BR165" s="15"/>
      <c r="BS165"/>
    </row>
  </sheetData>
  <mergeCells count="136">
    <mergeCell ref="J131:L137"/>
    <mergeCell ref="E118:F118"/>
    <mergeCell ref="E119:F119"/>
    <mergeCell ref="E120:F120"/>
    <mergeCell ref="E125:F125"/>
    <mergeCell ref="E126:F126"/>
    <mergeCell ref="AV127:AV128"/>
    <mergeCell ref="AG111:AI111"/>
    <mergeCell ref="S112:U112"/>
    <mergeCell ref="AG112:AI112"/>
    <mergeCell ref="S113:U113"/>
    <mergeCell ref="AG113:AI113"/>
    <mergeCell ref="S114:U114"/>
    <mergeCell ref="AG114:AI114"/>
    <mergeCell ref="E106:F106"/>
    <mergeCell ref="E107:F107"/>
    <mergeCell ref="E108:F108"/>
    <mergeCell ref="C109:C114"/>
    <mergeCell ref="S109:U109"/>
    <mergeCell ref="AG109:AI109"/>
    <mergeCell ref="N110:O110"/>
    <mergeCell ref="S110:U110"/>
    <mergeCell ref="AG110:AI110"/>
    <mergeCell ref="S111:U111"/>
    <mergeCell ref="U96:U99"/>
    <mergeCell ref="E97:F97"/>
    <mergeCell ref="E98:F98"/>
    <mergeCell ref="E99:F99"/>
    <mergeCell ref="E100:F100"/>
    <mergeCell ref="C101:C104"/>
    <mergeCell ref="E101:F101"/>
    <mergeCell ref="U101:U103"/>
    <mergeCell ref="E102:F102"/>
    <mergeCell ref="E103:F103"/>
    <mergeCell ref="S93:S95"/>
    <mergeCell ref="T93:T104"/>
    <mergeCell ref="E94:F94"/>
    <mergeCell ref="E95:F95"/>
    <mergeCell ref="C96:C100"/>
    <mergeCell ref="E96:F96"/>
    <mergeCell ref="S96:S104"/>
    <mergeCell ref="E104:F104"/>
    <mergeCell ref="B89:B105"/>
    <mergeCell ref="E89:F89"/>
    <mergeCell ref="E90:F90"/>
    <mergeCell ref="E91:F91"/>
    <mergeCell ref="E92:F92"/>
    <mergeCell ref="C93:C95"/>
    <mergeCell ref="E93:F93"/>
    <mergeCell ref="E105:F105"/>
    <mergeCell ref="E86:F86"/>
    <mergeCell ref="AR86:AT87"/>
    <mergeCell ref="C87:C92"/>
    <mergeCell ref="E87:F87"/>
    <mergeCell ref="S87:S92"/>
    <mergeCell ref="E88:F88"/>
    <mergeCell ref="P83:Q83"/>
    <mergeCell ref="AM83:AO83"/>
    <mergeCell ref="V84:AC84"/>
    <mergeCell ref="AM84:AO84"/>
    <mergeCell ref="AV84:AY84"/>
    <mergeCell ref="G85:I85"/>
    <mergeCell ref="AM85:AO85"/>
    <mergeCell ref="AM80:AO80"/>
    <mergeCell ref="P81:Q81"/>
    <mergeCell ref="AM81:AO81"/>
    <mergeCell ref="P82:Q82"/>
    <mergeCell ref="S82:V82"/>
    <mergeCell ref="W82:Y82"/>
    <mergeCell ref="AM82:AO82"/>
    <mergeCell ref="C78:M78"/>
    <mergeCell ref="C79:M79"/>
    <mergeCell ref="P79:Q79"/>
    <mergeCell ref="C80:M80"/>
    <mergeCell ref="P80:Q80"/>
    <mergeCell ref="S80:W80"/>
    <mergeCell ref="C74:E74"/>
    <mergeCell ref="G74:H74"/>
    <mergeCell ref="C75:E75"/>
    <mergeCell ref="G75:H75"/>
    <mergeCell ref="C76:F76"/>
    <mergeCell ref="G76:H76"/>
    <mergeCell ref="C71:E71"/>
    <mergeCell ref="G71:K71"/>
    <mergeCell ref="C72:E72"/>
    <mergeCell ref="G72:H72"/>
    <mergeCell ref="C73:E73"/>
    <mergeCell ref="G73:H73"/>
    <mergeCell ref="C67:D67"/>
    <mergeCell ref="O67:S67"/>
    <mergeCell ref="C69:E69"/>
    <mergeCell ref="G69:H69"/>
    <mergeCell ref="C70:E70"/>
    <mergeCell ref="G70:K70"/>
    <mergeCell ref="C56:D56"/>
    <mergeCell ref="C59:D59"/>
    <mergeCell ref="C60:D60"/>
    <mergeCell ref="C61:D61"/>
    <mergeCell ref="C62:E62"/>
    <mergeCell ref="C64:F64"/>
    <mergeCell ref="AP50:AS50"/>
    <mergeCell ref="AT50:AV50"/>
    <mergeCell ref="C51:D51"/>
    <mergeCell ref="C52:D52"/>
    <mergeCell ref="C54:D54"/>
    <mergeCell ref="C55:D55"/>
    <mergeCell ref="C41:D41"/>
    <mergeCell ref="C42:D42"/>
    <mergeCell ref="C43:E43"/>
    <mergeCell ref="C47:D47"/>
    <mergeCell ref="C48:D48"/>
    <mergeCell ref="C49:D49"/>
    <mergeCell ref="C31:D31"/>
    <mergeCell ref="C32:D32"/>
    <mergeCell ref="C33:D33"/>
    <mergeCell ref="C34:D34"/>
    <mergeCell ref="C39:D39"/>
    <mergeCell ref="C40:D40"/>
    <mergeCell ref="C19:D19"/>
    <mergeCell ref="C20:D20"/>
    <mergeCell ref="C23:G23"/>
    <mergeCell ref="C24:D24"/>
    <mergeCell ref="C25:D25"/>
    <mergeCell ref="C26:D26"/>
    <mergeCell ref="C11:E11"/>
    <mergeCell ref="C12:D12"/>
    <mergeCell ref="C16:D16"/>
    <mergeCell ref="C17:D17"/>
    <mergeCell ref="C18:D18"/>
    <mergeCell ref="F18:J18"/>
    <mergeCell ref="C5:E7"/>
    <mergeCell ref="F5:F7"/>
    <mergeCell ref="C8:D8"/>
    <mergeCell ref="F8:J8"/>
    <mergeCell ref="C9:D9"/>
    <mergeCell ref="C10:D10"/>
  </mergeCells>
  <conditionalFormatting sqref="AG86">
    <cfRule type="colorScale" priority="12">
      <colorScale>
        <cfvo type="num" val="0"/>
        <cfvo type="num" val="1"/>
        <color rgb="FFFF0000"/>
        <color rgb="FF92D050"/>
      </colorScale>
    </cfRule>
  </conditionalFormatting>
  <conditionalFormatting sqref="AG87:AG100">
    <cfRule type="colorScale" priority="11">
      <colorScale>
        <cfvo type="num" val="0"/>
        <cfvo type="num" val="1"/>
        <color rgb="FFFF0000"/>
        <color rgb="FF92D050"/>
      </colorScale>
    </cfRule>
  </conditionalFormatting>
  <conditionalFormatting sqref="AG104:AG106">
    <cfRule type="colorScale" priority="10">
      <colorScale>
        <cfvo type="num" val="0"/>
        <cfvo type="num" val="1"/>
        <color rgb="FFFF0000"/>
        <color rgb="FF92D050"/>
      </colorScale>
    </cfRule>
  </conditionalFormatting>
  <conditionalFormatting sqref="C76">
    <cfRule type="expression" dxfId="12" priority="8">
      <formula>$G$76&gt;0</formula>
    </cfRule>
    <cfRule type="expression" dxfId="11" priority="9">
      <formula>$G$76&lt;0</formula>
    </cfRule>
  </conditionalFormatting>
  <conditionalFormatting sqref="O74">
    <cfRule type="expression" dxfId="10" priority="7">
      <formula>O74&lt;O72</formula>
    </cfRule>
  </conditionalFormatting>
  <conditionalFormatting sqref="P74:R74">
    <cfRule type="expression" dxfId="9" priority="6">
      <formula>P74&lt;P72</formula>
    </cfRule>
  </conditionalFormatting>
  <conditionalFormatting sqref="S74">
    <cfRule type="expression" dxfId="8" priority="5">
      <formula>S74&lt;S72</formula>
    </cfRule>
  </conditionalFormatting>
  <conditionalFormatting sqref="E16">
    <cfRule type="expression" dxfId="7" priority="4">
      <formula>$C$16=AK17</formula>
    </cfRule>
  </conditionalFormatting>
  <conditionalFormatting sqref="AG107:AG108">
    <cfRule type="colorScale" priority="3">
      <colorScale>
        <cfvo type="num" val="0"/>
        <cfvo type="num" val="1"/>
        <color rgb="FFFF0000"/>
        <color rgb="FF92D050"/>
      </colorScale>
    </cfRule>
  </conditionalFormatting>
  <conditionalFormatting sqref="E20">
    <cfRule type="expression" dxfId="6" priority="13">
      <formula>$C$16=$AK$18</formula>
    </cfRule>
  </conditionalFormatting>
  <conditionalFormatting sqref="E17">
    <cfRule type="expression" dxfId="5" priority="14">
      <formula>$C$16=$AK$18</formula>
    </cfRule>
  </conditionalFormatting>
  <conditionalFormatting sqref="E18">
    <cfRule type="expression" dxfId="4" priority="15">
      <formula>$C$16=$AK$19</formula>
    </cfRule>
  </conditionalFormatting>
  <conditionalFormatting sqref="E12 C64 F69:F75">
    <cfRule type="expression" dxfId="3" priority="16">
      <formula>$C$5=$AK$10</formula>
    </cfRule>
  </conditionalFormatting>
  <conditionalFormatting sqref="C21 C43 C35">
    <cfRule type="expression" dxfId="2" priority="17">
      <formula>$E$20=$AV$9</formula>
    </cfRule>
  </conditionalFormatting>
  <conditionalFormatting sqref="F8">
    <cfRule type="expression" dxfId="1" priority="18">
      <formula>$C$5=$AK$10</formula>
    </cfRule>
  </conditionalFormatting>
  <conditionalFormatting sqref="E9">
    <cfRule type="expression" dxfId="0" priority="19">
      <formula>$C$5=$AK$8</formula>
    </cfRule>
  </conditionalFormatting>
  <conditionalFormatting sqref="AF109:AF114">
    <cfRule type="colorScale" priority="2">
      <colorScale>
        <cfvo type="min"/>
        <cfvo type="percentile" val="50"/>
        <cfvo type="max"/>
        <color rgb="FF63BE7B"/>
        <color rgb="FFFFEB84"/>
        <color rgb="FFF8696B"/>
      </colorScale>
    </cfRule>
  </conditionalFormatting>
  <conditionalFormatting sqref="AG109:AG114">
    <cfRule type="colorScale" priority="1">
      <colorScale>
        <cfvo type="min"/>
        <cfvo type="percentile" val="50"/>
        <cfvo type="max"/>
        <color rgb="FF63BE7B"/>
        <color rgb="FFFFEB84"/>
        <color rgb="FFF8696B"/>
      </colorScale>
    </cfRule>
  </conditionalFormatting>
  <dataValidations count="5">
    <dataValidation type="list" allowBlank="1" showInputMessage="1" showErrorMessage="1" sqref="C64" xr:uid="{3F773E48-6841-4C5D-AE4E-67A68FD91CB9}">
      <formula1>$AO$65:$AO$66</formula1>
    </dataValidation>
    <dataValidation type="list" allowBlank="1" showInputMessage="1" showErrorMessage="1" sqref="E18 E20 F69:F75" xr:uid="{14281EB3-AB01-4BE9-A7DC-92319DF59304}">
      <formula1>$AV$8:$AV$9</formula1>
    </dataValidation>
    <dataValidation type="list" allowBlank="1" showInputMessage="1" showErrorMessage="1" sqref="E12" xr:uid="{E676EA88-E8BD-4949-A015-898CAAFE146A}">
      <formula1>$AU$8:$AU$9</formula1>
    </dataValidation>
    <dataValidation type="list" allowBlank="1" showInputMessage="1" showErrorMessage="1" sqref="C5" xr:uid="{8FF87409-284D-40AB-ADB4-3D862DE157B9}">
      <formula1>$AK$8:$AK$10</formula1>
    </dataValidation>
    <dataValidation type="list" allowBlank="1" showInputMessage="1" showErrorMessage="1" sqref="C16:D16" xr:uid="{B0D960EE-51F2-4E19-BC97-F3A27616D2BD}">
      <formula1>$AK$17:$AK$19</formula1>
    </dataValidation>
  </dataValidations>
  <hyperlinks>
    <hyperlink ref="BA82" r:id="rId1" xr:uid="{95A858C1-A08F-4B09-9CFF-80B044EBADCB}"/>
    <hyperlink ref="BA98" r:id="rId2" xr:uid="{5140DB65-BA8B-4969-9F24-A750B3099542}"/>
    <hyperlink ref="BQ78" r:id="rId3" xr:uid="{BB5E7CBB-9C34-49B8-8366-C7DE5526D8A3}"/>
    <hyperlink ref="AQ113" r:id="rId4" display="https://h2.live/fahren/_x000a_" xr:uid="{B6C0FBF8-F46F-472F-982D-B132F012B517}"/>
    <hyperlink ref="Z87" r:id="rId5" display="https://oekobaudat.de/OEKOBAU.DAT/datasetdetail/process.xhtml?uuid=6167bec3-0bc2-425a-9c87-479fa310f8f2&amp;version=20.19.120&amp;stock=OBD_2021_II&amp;lang=de" xr:uid="{D040270D-EF77-4131-A97A-5431DE531B7E}"/>
    <hyperlink ref="Z96" r:id="rId6" display="https://oekobaudat.de/OEKOBAU.DAT/datasetdetail/process.xhtml?uuid=04ec8cf9-da57-4201-8d4d-02071e7be09f&amp;version=20.19.120&amp;stock=OBD_2021_II&amp;lang=de" xr:uid="{F1374551-8E13-4332-88EC-A9A848FEFE4D}"/>
    <hyperlink ref="Z97:Z100" r:id="rId7" display="https://oekobaudat.de/OEKOBAU.DAT/datasetdetail/process.xhtml?uuid=04ec8cf9-da57-4201-8d4d-02071e7be09f&amp;version=20.19.120&amp;stock=OBD_2021_II&amp;lang=de" xr:uid="{D0EE389E-8E6E-44FB-A3D5-4DEDC1254B00}"/>
    <hyperlink ref="Z95" r:id="rId8" display="https://oekobaudat.de/OEKOBAU.DAT/datasetdetail/process.xhtml?uuid=fb11f8ce-d3c7-4823-ba13-0c1f4a304799&amp;version=20.19.120&amp;stock=OBD_2021_II&amp;lang=de" xr:uid="{42661A46-5899-4474-B5FB-EE268CF23979}"/>
    <hyperlink ref="Z94" r:id="rId9" display="https://oekobaudat.de/OEKOBAU.DAT/datasetdetail/process.xhtml?uuid=fb11f8ce-d3c7-4823-ba13-0c1f4a304799&amp;version=20.19.120&amp;stock=OBD_2021_II&amp;lang=de" xr:uid="{F5A8F1E3-44FD-46FF-8805-17D77D1861A5}"/>
    <hyperlink ref="Z88:Z92" r:id="rId10" display="https://oekobaudat.de/OEKOBAU.DAT/datasetdetail/process.xhtml?uuid=6167bec3-0bc2-425a-9c87-479fa310f8f2&amp;version=20.19.120&amp;stock=OBD_2021_II&amp;lang=de" xr:uid="{CCCD73B4-7097-46B1-B5F5-41539870AC3A}"/>
    <hyperlink ref="Z86" r:id="rId11" display="https://oekobaudat.de/OEKOBAU.DAT/datasetdetail/process.xhtml?uuid=63854c13-11d1-4f97-ad97-052ecd3e6e3d&amp;version=20.19.120&amp;stock=OBD_2021_II&amp;lang=de" xr:uid="{55DB8EA4-82F6-40DD-AA8B-D6DF98D9FAB0}"/>
    <hyperlink ref="Z93" r:id="rId12" display="https://oekobaudat.de/OEKOBAU.DAT/datasetdetail/process.xhtml?uuid=fb11f8ce-d3c7-4823-ba13-0c1f4a304799&amp;version=20.19.120&amp;stock=OBD_2021_II&amp;lang=de" xr:uid="{B16CB132-7819-4A71-AC86-8B2E3C079927}"/>
    <hyperlink ref="AC81" r:id="rId13" location="klimakosten-von-treibhausgas-emissionen" xr:uid="{A66F1CCB-7813-46E0-B313-2306C69D9AFA}"/>
    <hyperlink ref="AA83" r:id="rId14" display="https://www.nachhaltigesbauen.de/fileadmin/pdf/QNG-BEG/Brosch%C3%BCre_QNG-Wohngeb%C3%A4ude_2021-12-01.pdf" xr:uid="{D5F16155-F15E-4334-89DD-D3453B87854B}"/>
    <hyperlink ref="W85" r:id="rId15" display="https://www.geg-info.de/geg/anlage_09_geg_umrechnung_treibhausgasemmissionen.pdf" xr:uid="{34498BFD-9D3C-417A-945A-7A0FE185B44D}"/>
    <hyperlink ref="X85" r:id="rId16" display="https://www.ihk.de/themen/umwelt-und-energie/co2-preisrechner" xr:uid="{CEC9E765-6B00-4FC3-A499-239757E44357}"/>
  </hyperlinks>
  <pageMargins left="0.23622047244094491" right="0.23622047244094491" top="0.35433070866141736" bottom="0" header="0.31496062992125984" footer="0.31496062992125984"/>
  <pageSetup paperSize="9" scale="18" fitToWidth="2" orientation="portrait" r:id="rId17"/>
  <drawing r:id="rId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AN160"/>
  <sheetViews>
    <sheetView showGridLines="0" topLeftCell="A87" zoomScale="115" zoomScaleNormal="115" workbookViewId="0">
      <selection activeCell="A3" sqref="A3"/>
    </sheetView>
  </sheetViews>
  <sheetFormatPr baseColWidth="10" defaultRowHeight="12.3"/>
  <cols>
    <col min="10" max="10" width="13.5546875" bestFit="1" customWidth="1"/>
    <col min="11" max="11" width="14.44140625" bestFit="1" customWidth="1"/>
    <col min="12" max="12" width="14.44140625" customWidth="1"/>
    <col min="13" max="13" width="14.44140625" bestFit="1" customWidth="1"/>
    <col min="14" max="14" width="11.71875" bestFit="1" customWidth="1"/>
    <col min="16" max="16" width="12.27734375" customWidth="1"/>
    <col min="17" max="18" width="13.71875" customWidth="1"/>
    <col min="19" max="19" width="12.5546875" style="15" customWidth="1"/>
    <col min="20" max="20" width="12.5546875" customWidth="1"/>
    <col min="21" max="21" width="12.5546875" style="15" customWidth="1"/>
    <col min="22" max="22" width="12.5546875" customWidth="1"/>
    <col min="23" max="23" width="12.5546875" style="15" customWidth="1"/>
    <col min="24" max="24" width="12.5546875" customWidth="1"/>
    <col min="25" max="25" width="12.5546875" style="15" customWidth="1"/>
    <col min="26" max="26" width="12.5546875" customWidth="1"/>
    <col min="27" max="27" width="12.5546875" style="15" customWidth="1"/>
    <col min="28" max="28" width="12.5546875" customWidth="1"/>
    <col min="29" max="29" width="12.5546875" style="15" customWidth="1"/>
    <col min="30" max="30" width="12.5546875" customWidth="1"/>
    <col min="31" max="31" width="12.5546875" style="15" customWidth="1"/>
    <col min="32" max="32" width="12.5546875" customWidth="1"/>
    <col min="33" max="33" width="12.5546875" style="15" customWidth="1"/>
    <col min="34" max="34" width="12.5546875" customWidth="1"/>
    <col min="35" max="35" width="12.5546875" style="15" customWidth="1"/>
    <col min="36" max="36" width="12.5546875" customWidth="1"/>
    <col min="37" max="37" width="12.5546875" style="15" customWidth="1"/>
    <col min="38" max="38" width="12.5546875" customWidth="1"/>
  </cols>
  <sheetData>
    <row r="2" spans="1:26" ht="22.5">
      <c r="A2" s="86" t="s">
        <v>135</v>
      </c>
      <c r="B2" s="25"/>
      <c r="C2" s="25"/>
      <c r="D2" s="25"/>
      <c r="E2" s="25"/>
      <c r="F2" s="25"/>
      <c r="G2" s="25"/>
      <c r="H2" s="25"/>
      <c r="I2" s="25"/>
      <c r="J2" s="26"/>
    </row>
    <row r="3" spans="1:26" ht="13.8">
      <c r="A3" s="33" t="s">
        <v>138</v>
      </c>
      <c r="B3" s="28"/>
      <c r="C3" s="28"/>
      <c r="D3" s="28"/>
      <c r="E3" s="28"/>
      <c r="F3" s="28"/>
      <c r="G3" s="28"/>
      <c r="H3" s="28"/>
      <c r="I3" s="28"/>
      <c r="J3" s="29"/>
    </row>
    <row r="4" spans="1:26" ht="13.8">
      <c r="A4" s="33"/>
      <c r="B4" s="28"/>
      <c r="C4" s="28"/>
      <c r="D4" s="28"/>
      <c r="E4" s="28"/>
      <c r="F4" s="28"/>
      <c r="G4" s="28"/>
      <c r="H4" s="28"/>
      <c r="I4" s="28"/>
      <c r="J4" s="29"/>
      <c r="M4" s="24"/>
      <c r="N4" s="25"/>
      <c r="O4" s="25"/>
      <c r="P4" s="25"/>
      <c r="Q4" s="25"/>
      <c r="R4" s="25"/>
      <c r="S4" s="54"/>
      <c r="T4" s="25"/>
      <c r="U4" s="54"/>
      <c r="V4" s="25"/>
      <c r="W4" s="54"/>
      <c r="X4" s="25"/>
      <c r="Y4" s="54"/>
      <c r="Z4" s="26"/>
    </row>
    <row r="5" spans="1:26" ht="13.8">
      <c r="A5" s="33"/>
      <c r="B5" s="28"/>
      <c r="C5" s="28"/>
      <c r="D5" s="28"/>
      <c r="E5" s="28"/>
      <c r="F5" s="28"/>
      <c r="G5" s="28"/>
      <c r="H5" s="28"/>
      <c r="I5" s="28"/>
      <c r="J5" s="29"/>
      <c r="M5" s="27"/>
      <c r="N5" s="28"/>
      <c r="O5" s="28"/>
      <c r="P5" s="28"/>
      <c r="Q5" s="28"/>
      <c r="R5" s="28"/>
      <c r="S5" s="55"/>
      <c r="T5" s="28"/>
      <c r="U5" s="55"/>
      <c r="V5" s="28"/>
      <c r="W5" s="55"/>
      <c r="X5" s="28"/>
      <c r="Y5" s="55"/>
      <c r="Z5" s="29"/>
    </row>
    <row r="6" spans="1:26" ht="13.8">
      <c r="A6" s="33"/>
      <c r="B6" s="28"/>
      <c r="C6" s="28"/>
      <c r="D6" s="28"/>
      <c r="E6" s="28"/>
      <c r="F6" s="28"/>
      <c r="G6" s="28"/>
      <c r="H6" s="28"/>
      <c r="I6" s="28"/>
      <c r="J6" s="29"/>
      <c r="M6" s="27"/>
      <c r="N6" s="28"/>
      <c r="O6" s="28"/>
      <c r="P6" s="28"/>
      <c r="Q6" s="28"/>
      <c r="R6" s="28"/>
      <c r="S6" s="55"/>
      <c r="T6" s="28"/>
      <c r="U6" s="55"/>
      <c r="V6" s="28"/>
      <c r="W6" s="55"/>
      <c r="X6" s="28"/>
      <c r="Y6" s="55"/>
      <c r="Z6" s="29"/>
    </row>
    <row r="7" spans="1:26" ht="13.8">
      <c r="A7" s="33"/>
      <c r="B7" s="28"/>
      <c r="C7" s="28"/>
      <c r="D7" s="28"/>
      <c r="E7" s="28"/>
      <c r="F7" s="28"/>
      <c r="G7" s="28"/>
      <c r="H7" s="28"/>
      <c r="I7" s="28"/>
      <c r="J7" s="29"/>
      <c r="M7" s="27"/>
      <c r="N7" s="28"/>
      <c r="O7" s="28"/>
      <c r="P7" s="28"/>
      <c r="Q7" s="28"/>
      <c r="R7" s="28"/>
      <c r="S7" s="55"/>
      <c r="T7" s="28"/>
      <c r="U7" s="55"/>
      <c r="V7" s="28"/>
      <c r="W7" s="55"/>
      <c r="X7" s="28"/>
      <c r="Y7" s="55"/>
      <c r="Z7" s="29"/>
    </row>
    <row r="8" spans="1:26" ht="13.8">
      <c r="A8" s="33"/>
      <c r="B8" s="28"/>
      <c r="C8" s="28"/>
      <c r="D8" s="28"/>
      <c r="E8" s="28"/>
      <c r="F8" s="28"/>
      <c r="G8" s="28"/>
      <c r="H8" s="28"/>
      <c r="I8" s="28"/>
      <c r="J8" s="29"/>
      <c r="M8" s="27"/>
      <c r="N8" s="28"/>
      <c r="O8" s="28"/>
      <c r="P8" s="28"/>
      <c r="Q8" s="28"/>
      <c r="R8" s="28"/>
      <c r="S8" s="55"/>
      <c r="T8" s="28"/>
      <c r="U8" s="55"/>
      <c r="V8" s="28"/>
      <c r="W8" s="55"/>
      <c r="X8" s="28"/>
      <c r="Y8" s="55"/>
      <c r="Z8" s="29"/>
    </row>
    <row r="9" spans="1:26" ht="13.8">
      <c r="A9" s="33"/>
      <c r="B9" s="28"/>
      <c r="C9" s="28"/>
      <c r="D9" s="28"/>
      <c r="E9" s="28"/>
      <c r="F9" s="28"/>
      <c r="G9" s="28"/>
      <c r="H9" s="28"/>
      <c r="I9" s="28"/>
      <c r="J9" s="29"/>
      <c r="M9" s="27"/>
      <c r="N9" s="28"/>
      <c r="O9" s="28"/>
      <c r="P9" s="28"/>
      <c r="Q9" s="28"/>
      <c r="R9" s="28"/>
      <c r="S9" s="55"/>
      <c r="T9" s="28"/>
      <c r="U9" s="55"/>
      <c r="V9" s="28"/>
      <c r="W9" s="55"/>
      <c r="X9" s="28"/>
      <c r="Y9" s="55"/>
      <c r="Z9" s="29"/>
    </row>
    <row r="10" spans="1:26" ht="13.8">
      <c r="A10" s="33"/>
      <c r="B10" s="28"/>
      <c r="C10" s="28"/>
      <c r="D10" s="28"/>
      <c r="E10" s="28"/>
      <c r="F10" s="28"/>
      <c r="G10" s="28"/>
      <c r="H10" s="28"/>
      <c r="I10" s="28"/>
      <c r="J10" s="29"/>
      <c r="M10" s="27"/>
      <c r="N10" s="28"/>
      <c r="O10" s="28"/>
      <c r="P10" s="28"/>
      <c r="Q10" s="28"/>
      <c r="R10" s="28"/>
      <c r="S10" s="55"/>
      <c r="T10" s="28"/>
      <c r="U10" s="55"/>
      <c r="V10" s="28"/>
      <c r="W10" s="55"/>
      <c r="X10" s="28"/>
      <c r="Y10" s="55"/>
      <c r="Z10" s="29"/>
    </row>
    <row r="11" spans="1:26" ht="13.8">
      <c r="A11" s="33"/>
      <c r="B11" s="28"/>
      <c r="C11" s="28"/>
      <c r="D11" s="28"/>
      <c r="E11" s="28"/>
      <c r="F11" s="28"/>
      <c r="G11" s="28"/>
      <c r="H11" s="28"/>
      <c r="I11" s="28"/>
      <c r="J11" s="29"/>
      <c r="M11" s="27"/>
      <c r="N11" s="28"/>
      <c r="O11" s="28"/>
      <c r="P11" s="28"/>
      <c r="Q11" s="28"/>
      <c r="R11" s="28"/>
      <c r="S11" s="55"/>
      <c r="T11" s="28"/>
      <c r="U11" s="55"/>
      <c r="V11" s="28"/>
      <c r="W11" s="55"/>
      <c r="X11" s="28"/>
      <c r="Y11" s="55"/>
      <c r="Z11" s="29"/>
    </row>
    <row r="12" spans="1:26" ht="13.8">
      <c r="A12" s="33"/>
      <c r="B12" s="28"/>
      <c r="C12" s="28"/>
      <c r="D12" s="28"/>
      <c r="E12" s="28"/>
      <c r="F12" s="28"/>
      <c r="G12" s="28"/>
      <c r="H12" s="28"/>
      <c r="I12" s="28"/>
      <c r="J12" s="29"/>
      <c r="M12" s="27"/>
      <c r="N12" s="28"/>
      <c r="O12" s="28"/>
      <c r="P12" s="28"/>
      <c r="Q12" s="28"/>
      <c r="R12" s="28"/>
      <c r="S12" s="55"/>
      <c r="T12" s="28"/>
      <c r="U12" s="55"/>
      <c r="V12" s="28"/>
      <c r="W12" s="55"/>
      <c r="X12" s="28"/>
      <c r="Y12" s="55"/>
      <c r="Z12" s="29"/>
    </row>
    <row r="13" spans="1:26" ht="13.8">
      <c r="A13" s="33"/>
      <c r="B13" s="28"/>
      <c r="C13" s="28"/>
      <c r="D13" s="28"/>
      <c r="E13" s="28"/>
      <c r="F13" s="28"/>
      <c r="G13" s="28"/>
      <c r="H13" s="28"/>
      <c r="I13" s="28"/>
      <c r="J13" s="29"/>
      <c r="M13" s="27"/>
      <c r="N13" s="28"/>
      <c r="O13" s="28"/>
      <c r="P13" s="28"/>
      <c r="Q13" s="28"/>
      <c r="R13" s="28"/>
      <c r="S13" s="55"/>
      <c r="T13" s="28"/>
      <c r="U13" s="55"/>
      <c r="V13" s="28"/>
      <c r="W13" s="55"/>
      <c r="X13" s="28"/>
      <c r="Y13" s="55"/>
      <c r="Z13" s="29"/>
    </row>
    <row r="14" spans="1:26" ht="13.8">
      <c r="A14" s="33"/>
      <c r="B14" s="28"/>
      <c r="C14" s="28"/>
      <c r="D14" s="28"/>
      <c r="E14" s="28"/>
      <c r="F14" s="28"/>
      <c r="G14" s="28"/>
      <c r="H14" s="28"/>
      <c r="I14" s="28"/>
      <c r="J14" s="29"/>
      <c r="M14" s="27"/>
      <c r="N14" s="28"/>
      <c r="O14" s="28"/>
      <c r="P14" s="28"/>
      <c r="Q14" s="28"/>
      <c r="R14" s="28"/>
      <c r="S14" s="55"/>
      <c r="T14" s="28"/>
      <c r="U14" s="55"/>
      <c r="V14" s="28"/>
      <c r="W14" s="55"/>
      <c r="X14" s="28"/>
      <c r="Y14" s="55"/>
      <c r="Z14" s="29"/>
    </row>
    <row r="15" spans="1:26" ht="13.8">
      <c r="A15" s="33"/>
      <c r="B15" s="28"/>
      <c r="C15" s="28"/>
      <c r="D15" s="28"/>
      <c r="E15" s="28"/>
      <c r="F15" s="28"/>
      <c r="G15" s="28"/>
      <c r="H15" s="28"/>
      <c r="I15" s="28"/>
      <c r="J15" s="29"/>
      <c r="M15" s="27"/>
      <c r="N15" s="28"/>
      <c r="O15" s="28"/>
      <c r="P15" s="28"/>
      <c r="Q15" s="28"/>
      <c r="R15" s="28"/>
      <c r="S15" s="55"/>
      <c r="T15" s="28"/>
      <c r="U15" s="55"/>
      <c r="V15" s="28"/>
      <c r="W15" s="55"/>
      <c r="X15" s="28"/>
      <c r="Y15" s="55"/>
      <c r="Z15" s="29"/>
    </row>
    <row r="16" spans="1:26" ht="13.8">
      <c r="A16" s="33"/>
      <c r="B16" s="28"/>
      <c r="C16" s="28"/>
      <c r="D16" s="28"/>
      <c r="E16" s="28"/>
      <c r="F16" s="28"/>
      <c r="G16" s="28"/>
      <c r="H16" s="28"/>
      <c r="I16" s="28"/>
      <c r="J16" s="29"/>
      <c r="M16" s="27"/>
      <c r="N16" s="28"/>
      <c r="O16" s="28"/>
      <c r="P16" s="28"/>
      <c r="Q16" s="28"/>
      <c r="R16" s="28"/>
      <c r="S16" s="55"/>
      <c r="T16" s="28"/>
      <c r="U16" s="55"/>
      <c r="V16" s="28"/>
      <c r="W16" s="55"/>
      <c r="X16" s="28"/>
      <c r="Y16" s="55"/>
      <c r="Z16" s="29"/>
    </row>
    <row r="17" spans="1:26" ht="13.8">
      <c r="A17" s="33"/>
      <c r="B17" s="28"/>
      <c r="C17" s="28"/>
      <c r="D17" s="28"/>
      <c r="E17" s="28"/>
      <c r="F17" s="28"/>
      <c r="G17" s="28"/>
      <c r="H17" s="28"/>
      <c r="I17" s="28"/>
      <c r="J17" s="29"/>
      <c r="M17" s="27"/>
      <c r="N17" s="28"/>
      <c r="O17" s="28"/>
      <c r="P17" s="28"/>
      <c r="Q17" s="28"/>
      <c r="R17" s="28"/>
      <c r="S17" s="55"/>
      <c r="T17" s="28"/>
      <c r="U17" s="55"/>
      <c r="V17" s="28"/>
      <c r="W17" s="55"/>
      <c r="X17" s="28"/>
      <c r="Y17" s="55"/>
      <c r="Z17" s="29"/>
    </row>
    <row r="18" spans="1:26" ht="13.8">
      <c r="A18" s="33"/>
      <c r="B18" s="28"/>
      <c r="C18" s="28"/>
      <c r="D18" s="28"/>
      <c r="E18" s="28"/>
      <c r="F18" s="28"/>
      <c r="G18" s="28"/>
      <c r="H18" s="28"/>
      <c r="I18" s="28"/>
      <c r="J18" s="29"/>
      <c r="M18" s="27"/>
      <c r="N18" s="28"/>
      <c r="O18" s="28"/>
      <c r="P18" s="28"/>
      <c r="Q18" s="28"/>
      <c r="R18" s="28"/>
      <c r="S18" s="55"/>
      <c r="T18" s="28"/>
      <c r="U18" s="55"/>
      <c r="V18" s="28"/>
      <c r="W18" s="55"/>
      <c r="X18" s="28"/>
      <c r="Y18" s="55"/>
      <c r="Z18" s="29"/>
    </row>
    <row r="19" spans="1:26" ht="13.8">
      <c r="A19" s="33"/>
      <c r="B19" s="28"/>
      <c r="C19" s="28"/>
      <c r="D19" s="28"/>
      <c r="E19" s="28"/>
      <c r="F19" s="28"/>
      <c r="G19" s="28"/>
      <c r="H19" s="28"/>
      <c r="I19" s="28"/>
      <c r="J19" s="29"/>
      <c r="M19" s="27"/>
      <c r="N19" s="28"/>
      <c r="O19" s="28"/>
      <c r="P19" s="28"/>
      <c r="Q19" s="28"/>
      <c r="R19" s="28"/>
      <c r="S19" s="55"/>
      <c r="T19" s="28"/>
      <c r="U19" s="55"/>
      <c r="V19" s="28"/>
      <c r="W19" s="55"/>
      <c r="X19" s="28"/>
      <c r="Y19" s="55"/>
      <c r="Z19" s="29"/>
    </row>
    <row r="20" spans="1:26" ht="13.8">
      <c r="A20" s="33"/>
      <c r="B20" s="28"/>
      <c r="C20" s="28"/>
      <c r="D20" s="28"/>
      <c r="E20" s="28"/>
      <c r="F20" s="28"/>
      <c r="G20" s="28"/>
      <c r="H20" s="28"/>
      <c r="I20" s="28"/>
      <c r="J20" s="29"/>
      <c r="M20" s="27"/>
      <c r="N20" s="28"/>
      <c r="O20" s="28"/>
      <c r="P20" s="28"/>
      <c r="Q20" s="28"/>
      <c r="R20" s="28"/>
      <c r="S20" s="55"/>
      <c r="T20" s="28"/>
      <c r="U20" s="55"/>
      <c r="V20" s="28"/>
      <c r="W20" s="55"/>
      <c r="X20" s="28"/>
      <c r="Y20" s="55"/>
      <c r="Z20" s="29"/>
    </row>
    <row r="21" spans="1:26" ht="13.8">
      <c r="A21" s="33"/>
      <c r="B21" s="28"/>
      <c r="C21" s="28"/>
      <c r="D21" s="28"/>
      <c r="E21" s="28"/>
      <c r="F21" s="28"/>
      <c r="G21" s="28"/>
      <c r="H21" s="28"/>
      <c r="I21" s="28"/>
      <c r="J21" s="29"/>
      <c r="M21" s="27"/>
      <c r="N21" s="28"/>
      <c r="O21" s="28"/>
      <c r="P21" s="28"/>
      <c r="Q21" s="28"/>
      <c r="R21" s="28"/>
      <c r="S21" s="55"/>
      <c r="T21" s="28"/>
      <c r="U21" s="55"/>
      <c r="V21" s="28"/>
      <c r="W21" s="55"/>
      <c r="X21" s="28"/>
      <c r="Y21" s="55"/>
      <c r="Z21" s="29"/>
    </row>
    <row r="22" spans="1:26" ht="13.8">
      <c r="A22" s="33"/>
      <c r="B22" s="28"/>
      <c r="C22" s="28"/>
      <c r="D22" s="28"/>
      <c r="E22" s="28"/>
      <c r="F22" s="28"/>
      <c r="G22" s="28"/>
      <c r="H22" s="28"/>
      <c r="I22" s="28"/>
      <c r="J22" s="29"/>
      <c r="M22" s="27"/>
      <c r="N22" s="28"/>
      <c r="O22" s="28"/>
      <c r="P22" s="28"/>
      <c r="Q22" s="28"/>
      <c r="R22" s="28"/>
      <c r="S22" s="55"/>
      <c r="T22" s="28"/>
      <c r="U22" s="55"/>
      <c r="V22" s="28"/>
      <c r="W22" s="55"/>
      <c r="X22" s="28"/>
      <c r="Y22" s="55"/>
      <c r="Z22" s="29"/>
    </row>
    <row r="23" spans="1:26" ht="13.8">
      <c r="A23" s="33"/>
      <c r="B23" s="28"/>
      <c r="C23" s="28"/>
      <c r="D23" s="28"/>
      <c r="E23" s="28"/>
      <c r="F23" s="28"/>
      <c r="G23" s="28"/>
      <c r="H23" s="28"/>
      <c r="I23" s="28"/>
      <c r="J23" s="29"/>
      <c r="M23" s="27"/>
      <c r="N23" s="28"/>
      <c r="O23" s="28"/>
      <c r="P23" s="28"/>
      <c r="Q23" s="28"/>
      <c r="R23" s="28"/>
      <c r="S23" s="55"/>
      <c r="T23" s="28"/>
      <c r="U23" s="55"/>
      <c r="V23" s="28"/>
      <c r="W23" s="55"/>
      <c r="X23" s="28"/>
      <c r="Y23" s="55"/>
      <c r="Z23" s="29"/>
    </row>
    <row r="24" spans="1:26">
      <c r="A24" s="27"/>
      <c r="B24" s="28"/>
      <c r="C24" s="28"/>
      <c r="D24" s="28"/>
      <c r="E24" s="28"/>
      <c r="F24" s="28"/>
      <c r="G24" s="28"/>
      <c r="H24" s="28"/>
      <c r="I24" s="28"/>
      <c r="J24" s="29"/>
      <c r="M24" s="27"/>
      <c r="N24" s="28"/>
      <c r="O24" s="28"/>
      <c r="P24" s="28"/>
      <c r="Q24" s="28"/>
      <c r="R24" s="28"/>
      <c r="S24" s="55"/>
      <c r="T24" s="28"/>
      <c r="U24" s="55"/>
      <c r="V24" s="28"/>
      <c r="W24" s="55"/>
      <c r="X24" s="28"/>
      <c r="Y24" s="55"/>
      <c r="Z24" s="29"/>
    </row>
    <row r="25" spans="1:26">
      <c r="A25" s="30"/>
      <c r="B25" s="31"/>
      <c r="C25" s="31"/>
      <c r="D25" s="31"/>
      <c r="E25" s="31"/>
      <c r="F25" s="31"/>
      <c r="G25" s="31"/>
      <c r="H25" s="31"/>
      <c r="I25" s="31"/>
      <c r="J25" s="32"/>
      <c r="M25" s="27"/>
      <c r="N25" s="28"/>
      <c r="O25" s="28"/>
      <c r="P25" s="28"/>
      <c r="Q25" s="28"/>
      <c r="R25" s="28"/>
      <c r="S25" s="55"/>
      <c r="T25" s="28"/>
      <c r="U25" s="55"/>
      <c r="V25" s="28"/>
      <c r="W25" s="55"/>
      <c r="X25" s="28"/>
      <c r="Y25" s="55"/>
      <c r="Z25" s="29"/>
    </row>
    <row r="26" spans="1:26">
      <c r="A26" s="23"/>
      <c r="M26" s="30"/>
      <c r="N26" s="31"/>
      <c r="O26" s="31"/>
      <c r="P26" s="31"/>
      <c r="Q26" s="31"/>
      <c r="R26" s="31"/>
      <c r="S26" s="34"/>
      <c r="T26" s="31"/>
      <c r="U26" s="34"/>
      <c r="V26" s="31"/>
      <c r="W26" s="34"/>
      <c r="X26" s="31"/>
      <c r="Y26" s="34"/>
      <c r="Z26" s="32"/>
    </row>
    <row r="27" spans="1:26">
      <c r="A27" s="23"/>
    </row>
    <row r="28" spans="1:26">
      <c r="A28" s="23"/>
    </row>
    <row r="29" spans="1:26">
      <c r="A29" s="24" t="s">
        <v>143</v>
      </c>
      <c r="B29" s="25"/>
      <c r="C29" s="25"/>
      <c r="D29" s="25"/>
      <c r="E29" s="25"/>
      <c r="F29" s="25"/>
      <c r="G29" s="25"/>
      <c r="H29" s="25"/>
      <c r="I29" s="25"/>
      <c r="J29" s="25"/>
      <c r="K29" s="25"/>
      <c r="L29" s="25"/>
      <c r="M29" s="25"/>
      <c r="N29" s="25"/>
      <c r="O29" s="25"/>
      <c r="P29" s="25"/>
      <c r="Q29" s="25"/>
      <c r="R29" s="25"/>
      <c r="S29" s="56"/>
      <c r="T29" t="s">
        <v>190</v>
      </c>
    </row>
    <row r="30" spans="1:26">
      <c r="A30" t="s">
        <v>139</v>
      </c>
      <c r="B30" s="28"/>
      <c r="C30" s="28"/>
      <c r="D30" s="28"/>
      <c r="E30" s="28"/>
      <c r="F30" s="28"/>
      <c r="G30" s="28"/>
      <c r="H30" s="28"/>
      <c r="I30" s="28"/>
      <c r="J30" s="28"/>
      <c r="K30" s="28"/>
      <c r="L30" s="28"/>
      <c r="M30" s="28"/>
      <c r="N30" s="28"/>
      <c r="O30" s="28"/>
      <c r="P30" s="28"/>
      <c r="Q30" s="28"/>
      <c r="R30" s="28"/>
      <c r="S30" s="57"/>
    </row>
    <row r="31" spans="1:26">
      <c r="A31" s="23" t="s">
        <v>189</v>
      </c>
      <c r="B31" s="28"/>
      <c r="C31" s="28"/>
      <c r="D31" s="28"/>
      <c r="E31" s="28"/>
      <c r="F31" s="28"/>
      <c r="G31" s="28"/>
      <c r="H31" s="28"/>
      <c r="I31" s="28"/>
      <c r="J31" s="28"/>
      <c r="K31" s="28"/>
      <c r="L31" s="28"/>
      <c r="M31" s="28"/>
      <c r="N31" s="28"/>
      <c r="O31" s="28"/>
      <c r="P31" s="28"/>
      <c r="Q31" s="28"/>
      <c r="R31" s="28"/>
      <c r="S31" s="57"/>
    </row>
    <row r="32" spans="1:26">
      <c r="A32" s="27"/>
      <c r="B32" s="28"/>
      <c r="C32" s="28"/>
      <c r="D32" s="28"/>
      <c r="E32" s="28"/>
      <c r="F32" s="28"/>
      <c r="G32" s="28"/>
      <c r="H32" s="28"/>
      <c r="I32" s="28"/>
      <c r="J32" s="28"/>
      <c r="K32" s="28"/>
      <c r="L32" s="28"/>
      <c r="M32" s="28"/>
      <c r="N32" s="28"/>
      <c r="O32" s="28"/>
      <c r="P32" s="28"/>
      <c r="Q32" s="28"/>
      <c r="R32" s="28"/>
      <c r="S32" s="57"/>
    </row>
    <row r="33" spans="1:19">
      <c r="A33" s="27"/>
      <c r="B33" s="28"/>
      <c r="C33" s="28"/>
      <c r="D33" s="28"/>
      <c r="E33" s="28"/>
      <c r="F33" s="28"/>
      <c r="G33" s="28"/>
      <c r="H33" s="28"/>
      <c r="I33" s="28"/>
      <c r="J33" s="28"/>
      <c r="K33" s="28"/>
      <c r="L33" s="28"/>
      <c r="M33" s="28"/>
      <c r="N33" s="28"/>
      <c r="O33" s="28"/>
      <c r="P33" s="28"/>
      <c r="Q33" s="28"/>
      <c r="R33" s="28"/>
      <c r="S33" s="57"/>
    </row>
    <row r="34" spans="1:19">
      <c r="A34" s="27"/>
      <c r="B34" s="28"/>
      <c r="C34" s="28"/>
      <c r="D34" s="28"/>
      <c r="E34" s="28"/>
      <c r="F34" s="28"/>
      <c r="G34" s="28"/>
      <c r="H34" s="28"/>
      <c r="I34" s="28"/>
      <c r="J34" s="28"/>
      <c r="K34" s="28"/>
      <c r="L34" s="28"/>
      <c r="M34" s="28"/>
      <c r="N34" s="28"/>
      <c r="O34" s="28"/>
      <c r="P34" s="28"/>
      <c r="Q34" s="28"/>
      <c r="R34" s="28"/>
      <c r="S34" s="57"/>
    </row>
    <row r="35" spans="1:19">
      <c r="A35" s="27"/>
      <c r="B35" s="28"/>
      <c r="C35" s="28"/>
      <c r="D35" s="28"/>
      <c r="E35" s="28"/>
      <c r="F35" s="28"/>
      <c r="G35" s="28"/>
      <c r="H35" s="28"/>
      <c r="I35" s="28"/>
      <c r="J35" s="28"/>
      <c r="K35" s="28"/>
      <c r="L35" s="28"/>
      <c r="M35" s="28"/>
      <c r="N35" s="28"/>
      <c r="O35" s="28"/>
      <c r="P35" s="28"/>
      <c r="Q35" s="28"/>
      <c r="R35" s="28"/>
      <c r="S35" s="57"/>
    </row>
    <row r="36" spans="1:19">
      <c r="A36" s="27"/>
      <c r="B36" s="28"/>
      <c r="C36" s="28"/>
      <c r="D36" s="28"/>
      <c r="E36" s="28"/>
      <c r="F36" s="28"/>
      <c r="G36" s="28"/>
      <c r="H36" s="28"/>
      <c r="I36" s="28"/>
      <c r="J36" s="28"/>
      <c r="K36" s="28"/>
      <c r="L36" s="28"/>
      <c r="M36" s="28"/>
      <c r="N36" s="28"/>
      <c r="O36" s="28"/>
      <c r="P36" s="28"/>
      <c r="Q36" s="28"/>
      <c r="R36" s="28"/>
      <c r="S36" s="57"/>
    </row>
    <row r="37" spans="1:19">
      <c r="A37" s="27"/>
      <c r="B37" s="28"/>
      <c r="C37" s="28"/>
      <c r="D37" s="28"/>
      <c r="E37" s="28"/>
      <c r="F37" s="28"/>
      <c r="G37" s="28"/>
      <c r="H37" s="28"/>
      <c r="I37" s="28"/>
      <c r="J37" s="28"/>
      <c r="K37" s="28"/>
      <c r="L37" s="28"/>
      <c r="M37" s="28"/>
      <c r="N37" s="28"/>
      <c r="O37" s="28"/>
      <c r="P37" s="28"/>
      <c r="Q37" s="28"/>
      <c r="R37" s="28"/>
      <c r="S37" s="57"/>
    </row>
    <row r="38" spans="1:19">
      <c r="A38" s="27"/>
      <c r="B38" s="28"/>
      <c r="C38" s="28"/>
      <c r="D38" s="28"/>
      <c r="E38" s="28"/>
      <c r="F38" s="28"/>
      <c r="G38" s="28"/>
      <c r="H38" s="28"/>
      <c r="I38" s="28"/>
      <c r="J38" s="28"/>
      <c r="K38" s="28"/>
      <c r="L38" s="28"/>
      <c r="M38" s="28"/>
      <c r="N38" s="28"/>
      <c r="O38" s="28"/>
      <c r="P38" s="28"/>
      <c r="Q38" s="28"/>
      <c r="R38" s="28"/>
      <c r="S38" s="57"/>
    </row>
    <row r="39" spans="1:19">
      <c r="A39" s="27"/>
      <c r="B39" s="28"/>
      <c r="C39" s="28"/>
      <c r="D39" s="28"/>
      <c r="E39" s="28"/>
      <c r="F39" s="28"/>
      <c r="G39" s="28"/>
      <c r="H39" s="28"/>
      <c r="I39" s="28"/>
      <c r="J39" s="28"/>
      <c r="K39" s="28"/>
      <c r="L39" s="28"/>
      <c r="M39" s="28"/>
      <c r="N39" s="28"/>
      <c r="O39" s="28"/>
      <c r="P39" s="28"/>
      <c r="Q39" s="28"/>
      <c r="R39" s="28"/>
      <c r="S39" s="57"/>
    </row>
    <row r="40" spans="1:19">
      <c r="A40" s="27"/>
      <c r="B40" s="28"/>
      <c r="C40" s="28"/>
      <c r="D40" s="28"/>
      <c r="E40" s="28"/>
      <c r="F40" s="28"/>
      <c r="G40" s="28"/>
      <c r="H40" s="28"/>
      <c r="I40" s="28"/>
      <c r="J40" s="28"/>
      <c r="K40" s="28"/>
      <c r="L40" s="28"/>
      <c r="M40" s="28"/>
      <c r="N40" s="28"/>
      <c r="O40" s="28"/>
      <c r="P40" s="28"/>
      <c r="Q40" s="28"/>
      <c r="R40" s="28"/>
      <c r="S40" s="57"/>
    </row>
    <row r="41" spans="1:19">
      <c r="A41" s="27"/>
      <c r="B41" s="28"/>
      <c r="C41" s="28"/>
      <c r="D41" s="28"/>
      <c r="E41" s="28"/>
      <c r="F41" s="28"/>
      <c r="G41" s="28"/>
      <c r="H41" s="28"/>
      <c r="I41" s="28"/>
      <c r="J41" s="28"/>
      <c r="K41" s="28"/>
      <c r="L41" s="28"/>
      <c r="M41" s="28"/>
      <c r="N41" s="28"/>
      <c r="O41" s="28"/>
      <c r="P41" s="28"/>
      <c r="Q41" s="28"/>
      <c r="R41" s="28"/>
      <c r="S41" s="57"/>
    </row>
    <row r="42" spans="1:19">
      <c r="A42" s="27"/>
      <c r="B42" s="28"/>
      <c r="C42" s="28"/>
      <c r="D42" s="28"/>
      <c r="E42" s="28"/>
      <c r="F42" s="28"/>
      <c r="G42" s="28"/>
      <c r="H42" s="28"/>
      <c r="I42" s="28"/>
      <c r="J42" s="28"/>
      <c r="K42" s="28"/>
      <c r="L42" s="28"/>
      <c r="M42" s="28"/>
      <c r="N42" s="28"/>
      <c r="O42" s="28"/>
      <c r="P42" s="28"/>
      <c r="Q42" s="28"/>
      <c r="R42" s="28"/>
      <c r="S42" s="57"/>
    </row>
    <row r="43" spans="1:19">
      <c r="A43" s="27"/>
      <c r="B43" s="28"/>
      <c r="C43" s="28"/>
      <c r="D43" s="28"/>
      <c r="E43" s="28"/>
      <c r="F43" s="28"/>
      <c r="G43" s="28"/>
      <c r="H43" s="28"/>
      <c r="I43" s="28"/>
      <c r="J43" s="28"/>
      <c r="K43" s="28"/>
      <c r="L43" s="28"/>
      <c r="M43" s="28"/>
      <c r="N43" s="28"/>
      <c r="O43" s="28"/>
      <c r="P43" s="28"/>
      <c r="Q43" s="28"/>
      <c r="R43" s="28"/>
      <c r="S43" s="57"/>
    </row>
    <row r="44" spans="1:19">
      <c r="A44" s="27"/>
      <c r="B44" s="28"/>
      <c r="C44" s="28"/>
      <c r="D44" s="28"/>
      <c r="E44" s="28"/>
      <c r="F44" s="28"/>
      <c r="G44" s="28"/>
      <c r="H44" s="28"/>
      <c r="I44" s="28"/>
      <c r="J44" s="28"/>
      <c r="K44" s="28"/>
      <c r="L44" s="28"/>
      <c r="M44" s="28"/>
      <c r="N44" s="28"/>
      <c r="O44" s="28"/>
      <c r="P44" s="28"/>
      <c r="Q44" s="28"/>
      <c r="R44" s="28"/>
      <c r="S44" s="57"/>
    </row>
    <row r="45" spans="1:19">
      <c r="A45" s="27"/>
      <c r="B45" s="28"/>
      <c r="C45" s="28"/>
      <c r="D45" s="28"/>
      <c r="E45" s="28"/>
      <c r="F45" s="28"/>
      <c r="G45" s="28"/>
      <c r="H45" s="28"/>
      <c r="I45" s="28"/>
      <c r="J45" s="28"/>
      <c r="K45" s="28"/>
      <c r="L45" s="28"/>
      <c r="M45" s="28"/>
      <c r="N45" s="28"/>
      <c r="O45" s="28"/>
      <c r="P45" s="28"/>
      <c r="Q45" s="28"/>
      <c r="R45" s="28"/>
      <c r="S45" s="57"/>
    </row>
    <row r="46" spans="1:19">
      <c r="A46" s="27"/>
      <c r="B46" s="28"/>
      <c r="C46" s="28"/>
      <c r="D46" s="28"/>
      <c r="E46" s="28"/>
      <c r="F46" s="28"/>
      <c r="G46" s="28"/>
      <c r="H46" s="28"/>
      <c r="I46" s="28"/>
      <c r="J46" s="28"/>
      <c r="K46" s="28"/>
      <c r="L46" s="28"/>
      <c r="M46" s="28"/>
      <c r="N46" s="28"/>
      <c r="O46" s="28"/>
      <c r="P46" s="28"/>
      <c r="Q46" s="28"/>
      <c r="R46" s="28"/>
      <c r="S46" s="57"/>
    </row>
    <row r="47" spans="1:19">
      <c r="A47" s="27"/>
      <c r="B47" s="28"/>
      <c r="C47" s="28"/>
      <c r="D47" s="28"/>
      <c r="E47" s="28"/>
      <c r="F47" s="28"/>
      <c r="G47" s="28"/>
      <c r="H47" s="28"/>
      <c r="I47" s="28"/>
      <c r="J47" s="28"/>
      <c r="K47" s="28"/>
      <c r="L47" s="28"/>
      <c r="M47" s="28"/>
      <c r="N47" s="28"/>
      <c r="O47" s="28"/>
      <c r="P47" s="28"/>
      <c r="Q47" s="28"/>
      <c r="R47" s="28"/>
      <c r="S47" s="57"/>
    </row>
    <row r="48" spans="1:19">
      <c r="A48" s="27"/>
      <c r="B48" s="28"/>
      <c r="C48" s="28"/>
      <c r="D48" s="28"/>
      <c r="E48" s="28"/>
      <c r="F48" s="28"/>
      <c r="G48" s="28"/>
      <c r="H48" s="28"/>
      <c r="I48" s="28"/>
      <c r="J48" s="28"/>
      <c r="K48" s="28"/>
      <c r="L48" s="28"/>
      <c r="M48" s="28"/>
      <c r="N48" s="28"/>
      <c r="O48" s="28"/>
      <c r="P48" s="28"/>
      <c r="Q48" s="28"/>
      <c r="R48" s="28"/>
      <c r="S48" s="57"/>
    </row>
    <row r="49" spans="1:19">
      <c r="A49" s="27"/>
      <c r="B49" s="28"/>
      <c r="C49" s="28"/>
      <c r="D49" s="28"/>
      <c r="E49" s="28"/>
      <c r="F49" s="28"/>
      <c r="G49" s="28"/>
      <c r="H49" s="28"/>
      <c r="I49" s="28"/>
      <c r="J49" s="28"/>
      <c r="K49" s="28"/>
      <c r="L49" s="28"/>
      <c r="M49" s="28"/>
      <c r="N49" s="28"/>
      <c r="O49" s="28"/>
      <c r="P49" s="28"/>
      <c r="Q49" s="28"/>
      <c r="R49" s="28"/>
      <c r="S49" s="57"/>
    </row>
    <row r="50" spans="1:19">
      <c r="A50" s="27"/>
      <c r="B50" s="28"/>
      <c r="C50" s="28"/>
      <c r="D50" s="28"/>
      <c r="E50" s="28"/>
      <c r="F50" s="28"/>
      <c r="G50" s="28"/>
      <c r="H50" s="28"/>
      <c r="I50" s="28"/>
      <c r="J50" s="28"/>
      <c r="K50" s="28"/>
      <c r="L50" s="28"/>
      <c r="M50" s="28"/>
      <c r="N50" s="28"/>
      <c r="O50" s="28"/>
      <c r="P50" s="28"/>
      <c r="Q50" s="28"/>
      <c r="R50" s="28"/>
      <c r="S50" s="57"/>
    </row>
    <row r="51" spans="1:19">
      <c r="A51" s="27"/>
      <c r="B51" s="28"/>
      <c r="C51" s="28"/>
      <c r="D51" s="28"/>
      <c r="E51" s="28"/>
      <c r="F51" s="28"/>
      <c r="G51" s="28"/>
      <c r="H51" s="28"/>
      <c r="I51" s="28"/>
      <c r="J51" s="28"/>
      <c r="K51" s="28"/>
      <c r="L51" s="28"/>
      <c r="M51" s="28"/>
      <c r="N51" s="28"/>
      <c r="O51" s="28"/>
      <c r="P51" s="28"/>
      <c r="Q51" s="28"/>
      <c r="R51" s="28"/>
      <c r="S51" s="57"/>
    </row>
    <row r="52" spans="1:19">
      <c r="A52" s="27"/>
      <c r="B52" s="28"/>
      <c r="C52" s="28"/>
      <c r="D52" s="28"/>
      <c r="E52" s="28"/>
      <c r="F52" s="28"/>
      <c r="G52" s="28"/>
      <c r="H52" s="28"/>
      <c r="I52" s="28"/>
      <c r="J52" s="28"/>
      <c r="K52" s="28"/>
      <c r="L52" s="28"/>
      <c r="M52" s="28"/>
      <c r="N52" s="28"/>
      <c r="O52" s="28"/>
      <c r="P52" s="28"/>
      <c r="Q52" s="28"/>
      <c r="R52" s="28"/>
      <c r="S52" s="57"/>
    </row>
    <row r="53" spans="1:19">
      <c r="A53" s="27"/>
      <c r="B53" s="28"/>
      <c r="C53" s="28"/>
      <c r="D53" s="28"/>
      <c r="E53" s="28"/>
      <c r="F53" s="28"/>
      <c r="G53" s="28"/>
      <c r="H53" s="28"/>
      <c r="I53" s="28"/>
      <c r="J53" s="28"/>
      <c r="K53" s="28"/>
      <c r="L53" s="28"/>
      <c r="M53" s="28"/>
      <c r="N53" s="28"/>
      <c r="O53" s="28"/>
      <c r="P53" s="28"/>
      <c r="Q53" s="28"/>
      <c r="R53" s="28"/>
      <c r="S53" s="57"/>
    </row>
    <row r="54" spans="1:19">
      <c r="A54" s="27"/>
      <c r="B54" s="28"/>
      <c r="C54" s="28"/>
      <c r="D54" s="28"/>
      <c r="E54" s="28"/>
      <c r="F54" s="28"/>
      <c r="G54" s="28"/>
      <c r="H54" s="28"/>
      <c r="I54" s="28"/>
      <c r="J54" s="28"/>
      <c r="K54" s="28"/>
      <c r="L54" s="28"/>
      <c r="M54" s="28"/>
      <c r="N54" s="28"/>
      <c r="O54" s="28"/>
      <c r="P54" s="28"/>
      <c r="Q54" s="28"/>
      <c r="R54" s="28"/>
      <c r="S54" s="57"/>
    </row>
    <row r="55" spans="1:19">
      <c r="A55" s="27"/>
      <c r="B55" s="28"/>
      <c r="C55" s="28"/>
      <c r="D55" s="28"/>
      <c r="E55" s="28"/>
      <c r="F55" s="28"/>
      <c r="G55" s="28"/>
      <c r="H55" s="28"/>
      <c r="I55" s="28"/>
      <c r="J55" s="28"/>
      <c r="K55" s="28"/>
      <c r="L55" s="28"/>
      <c r="M55" s="28"/>
      <c r="N55" s="28"/>
      <c r="O55" s="28"/>
      <c r="P55" s="28"/>
      <c r="Q55" s="28"/>
      <c r="R55" s="28"/>
      <c r="S55" s="57"/>
    </row>
    <row r="56" spans="1:19">
      <c r="A56" s="27"/>
      <c r="B56" s="28"/>
      <c r="C56" s="28"/>
      <c r="D56" s="28"/>
      <c r="E56" s="28"/>
      <c r="F56" s="28"/>
      <c r="G56" s="28"/>
      <c r="H56" s="28"/>
      <c r="I56" s="28"/>
      <c r="J56" s="28"/>
      <c r="K56" s="28"/>
      <c r="L56" s="28"/>
      <c r="M56" s="28"/>
      <c r="N56" s="28"/>
      <c r="O56" s="28"/>
      <c r="P56" s="28"/>
      <c r="Q56" s="28"/>
      <c r="R56" s="28"/>
      <c r="S56" s="57"/>
    </row>
    <row r="57" spans="1:19">
      <c r="A57" s="27"/>
      <c r="B57" s="28"/>
      <c r="C57" s="28"/>
      <c r="D57" s="28"/>
      <c r="E57" s="28"/>
      <c r="F57" s="28"/>
      <c r="G57" s="28"/>
      <c r="H57" s="28"/>
      <c r="I57" s="28"/>
      <c r="J57" s="28"/>
      <c r="K57" s="28"/>
      <c r="L57" s="28"/>
      <c r="M57" s="28"/>
      <c r="N57" s="28"/>
      <c r="O57" s="28"/>
      <c r="P57" s="28"/>
      <c r="Q57" s="28"/>
      <c r="R57" s="28"/>
      <c r="S57" s="57"/>
    </row>
    <row r="58" spans="1:19">
      <c r="A58" s="27"/>
      <c r="B58" s="28"/>
      <c r="C58" s="28"/>
      <c r="D58" s="28"/>
      <c r="E58" s="28"/>
      <c r="F58" s="28"/>
      <c r="G58" s="28"/>
      <c r="H58" s="28"/>
      <c r="I58" s="28"/>
      <c r="J58" s="28"/>
      <c r="K58" s="28"/>
      <c r="L58" s="28"/>
      <c r="M58" s="28"/>
      <c r="N58" s="28"/>
      <c r="O58" s="28"/>
      <c r="P58" s="28"/>
      <c r="Q58" s="28"/>
      <c r="R58" s="28"/>
      <c r="S58" s="57"/>
    </row>
    <row r="59" spans="1:19">
      <c r="A59" s="27"/>
      <c r="B59" s="28"/>
      <c r="C59" s="28"/>
      <c r="D59" s="28"/>
      <c r="E59" s="28"/>
      <c r="F59" s="28"/>
      <c r="G59" s="28"/>
      <c r="H59" s="28"/>
      <c r="I59" s="28"/>
      <c r="J59" s="28"/>
      <c r="K59" s="28"/>
      <c r="L59" s="28"/>
      <c r="M59" s="28"/>
      <c r="N59" s="28"/>
      <c r="O59" s="28"/>
      <c r="P59" s="28"/>
      <c r="Q59" s="28"/>
      <c r="R59" s="28"/>
      <c r="S59" s="57"/>
    </row>
    <row r="60" spans="1:19">
      <c r="A60" s="27"/>
      <c r="B60" s="28"/>
      <c r="C60" s="28"/>
      <c r="D60" s="28"/>
      <c r="E60" s="28"/>
      <c r="F60" s="28"/>
      <c r="G60" s="28"/>
      <c r="H60" s="28"/>
      <c r="I60" s="28"/>
      <c r="J60" s="28"/>
      <c r="K60" s="28"/>
      <c r="L60" s="28"/>
      <c r="M60" s="28"/>
      <c r="N60" s="28"/>
      <c r="O60" s="28"/>
      <c r="P60" s="28"/>
      <c r="Q60" s="28"/>
      <c r="R60" s="28"/>
      <c r="S60" s="57"/>
    </row>
    <row r="61" spans="1:19">
      <c r="A61" s="27"/>
      <c r="B61" s="28"/>
      <c r="C61" s="28"/>
      <c r="D61" s="28"/>
      <c r="E61" s="28"/>
      <c r="F61" s="28"/>
      <c r="G61" s="28"/>
      <c r="H61" s="28"/>
      <c r="I61" s="28"/>
      <c r="J61" s="28"/>
      <c r="K61" s="28"/>
      <c r="L61" s="28"/>
      <c r="M61" s="28"/>
      <c r="N61" s="28"/>
      <c r="O61" s="28"/>
      <c r="P61" s="28"/>
      <c r="Q61" s="28"/>
      <c r="R61" s="28"/>
      <c r="S61" s="57"/>
    </row>
    <row r="62" spans="1:19">
      <c r="A62" s="27"/>
      <c r="B62" s="28"/>
      <c r="C62" s="28"/>
      <c r="D62" s="28"/>
      <c r="E62" s="28"/>
      <c r="F62" s="28"/>
      <c r="G62" s="28"/>
      <c r="H62" s="28"/>
      <c r="I62" s="28"/>
      <c r="J62" s="28"/>
      <c r="K62" s="28"/>
      <c r="L62" s="28"/>
      <c r="M62" s="28"/>
      <c r="N62" s="28"/>
      <c r="O62" s="28"/>
      <c r="P62" s="28"/>
      <c r="Q62" s="28"/>
      <c r="R62" s="28"/>
      <c r="S62" s="57"/>
    </row>
    <row r="63" spans="1:19">
      <c r="A63" s="27"/>
      <c r="B63" s="28"/>
      <c r="C63" s="28"/>
      <c r="D63" s="28"/>
      <c r="E63" s="28"/>
      <c r="F63" s="28"/>
      <c r="G63" s="28"/>
      <c r="H63" s="28"/>
      <c r="I63" s="28"/>
      <c r="J63" s="28"/>
      <c r="K63" s="28"/>
      <c r="L63" s="28"/>
      <c r="M63" s="28"/>
      <c r="N63" s="28"/>
      <c r="O63" s="28"/>
      <c r="P63" s="28"/>
      <c r="Q63" s="28"/>
      <c r="R63" s="28"/>
      <c r="S63" s="57"/>
    </row>
    <row r="64" spans="1:19">
      <c r="A64" s="27"/>
      <c r="B64" s="28"/>
      <c r="C64" s="28"/>
      <c r="D64" s="28"/>
      <c r="E64" s="28"/>
      <c r="F64" s="28"/>
      <c r="G64" s="28"/>
      <c r="H64" s="28"/>
      <c r="I64" s="28"/>
      <c r="J64" s="28"/>
      <c r="K64" s="28"/>
      <c r="L64" s="28"/>
      <c r="M64" s="28"/>
      <c r="N64" s="28"/>
      <c r="O64" s="28"/>
      <c r="P64" s="28"/>
      <c r="Q64" s="28"/>
      <c r="R64" s="28"/>
      <c r="S64" s="57"/>
    </row>
    <row r="65" spans="1:19">
      <c r="A65" s="27"/>
      <c r="B65" s="28"/>
      <c r="C65" s="28"/>
      <c r="D65" s="28"/>
      <c r="E65" s="28"/>
      <c r="F65" s="28"/>
      <c r="G65" s="28"/>
      <c r="H65" s="28"/>
      <c r="I65" s="28"/>
      <c r="J65" s="28"/>
      <c r="K65" s="28"/>
      <c r="L65" s="28"/>
      <c r="M65" s="28"/>
      <c r="N65" s="28"/>
      <c r="O65" s="28"/>
      <c r="P65" s="28"/>
      <c r="Q65" s="28"/>
      <c r="R65" s="28"/>
      <c r="S65" s="57"/>
    </row>
    <row r="66" spans="1:19">
      <c r="A66" s="27"/>
      <c r="B66" s="28"/>
      <c r="C66" s="28"/>
      <c r="D66" s="28"/>
      <c r="E66" s="28"/>
      <c r="F66" s="28"/>
      <c r="G66" s="28"/>
      <c r="H66" s="28"/>
      <c r="I66" s="28"/>
      <c r="J66" s="28"/>
      <c r="K66" s="28"/>
      <c r="L66" s="28"/>
      <c r="M66" s="28"/>
      <c r="N66" s="28"/>
      <c r="O66" s="28"/>
      <c r="P66" s="28"/>
      <c r="Q66" s="28"/>
      <c r="R66" s="28"/>
      <c r="S66" s="57"/>
    </row>
    <row r="67" spans="1:19">
      <c r="A67" s="27"/>
      <c r="B67" s="28"/>
      <c r="C67" s="28"/>
      <c r="D67" s="28"/>
      <c r="E67" s="28"/>
      <c r="F67" s="28"/>
      <c r="G67" s="28"/>
      <c r="H67" s="28"/>
      <c r="I67" s="28"/>
      <c r="J67" s="28"/>
      <c r="K67" s="28"/>
      <c r="L67" s="28"/>
      <c r="M67" s="28"/>
      <c r="N67" s="28"/>
      <c r="O67" s="28"/>
      <c r="P67" s="28"/>
      <c r="Q67" s="28"/>
      <c r="R67" s="28"/>
      <c r="S67" s="57"/>
    </row>
    <row r="68" spans="1:19">
      <c r="A68" s="27"/>
      <c r="B68" s="28"/>
      <c r="C68" s="28"/>
      <c r="D68" s="28"/>
      <c r="E68" s="28"/>
      <c r="F68" s="28"/>
      <c r="G68" s="28"/>
      <c r="H68" s="28"/>
      <c r="I68" s="28"/>
      <c r="J68" s="28"/>
      <c r="K68" s="28"/>
      <c r="L68" s="28"/>
      <c r="M68" s="28"/>
      <c r="N68" s="28"/>
      <c r="O68" s="28"/>
      <c r="P68" s="28"/>
      <c r="Q68" s="28"/>
      <c r="R68" s="28"/>
      <c r="S68" s="57"/>
    </row>
    <row r="69" spans="1:19">
      <c r="A69" s="27"/>
      <c r="B69" s="28"/>
      <c r="C69" s="28"/>
      <c r="D69" s="28"/>
      <c r="E69" s="28"/>
      <c r="F69" s="28"/>
      <c r="G69" s="28"/>
      <c r="H69" s="28"/>
      <c r="I69" s="28"/>
      <c r="J69" s="28"/>
      <c r="K69" s="28"/>
      <c r="L69" s="28"/>
      <c r="M69" s="28"/>
      <c r="N69" s="28"/>
      <c r="O69" s="28"/>
      <c r="P69" s="28"/>
      <c r="Q69" s="28"/>
      <c r="R69" s="28"/>
      <c r="S69" s="57"/>
    </row>
    <row r="70" spans="1:19">
      <c r="A70" s="27"/>
      <c r="B70" s="28"/>
      <c r="C70" s="28"/>
      <c r="D70" s="28"/>
      <c r="E70" s="28"/>
      <c r="F70" s="28"/>
      <c r="G70" s="28"/>
      <c r="H70" s="28"/>
      <c r="I70" s="28"/>
      <c r="J70" s="28"/>
      <c r="K70" s="28"/>
      <c r="L70" s="28"/>
      <c r="M70" s="28"/>
      <c r="N70" s="28"/>
      <c r="O70" s="28"/>
      <c r="P70" s="28"/>
      <c r="Q70" s="28"/>
      <c r="R70" s="28"/>
      <c r="S70" s="57"/>
    </row>
    <row r="71" spans="1:19">
      <c r="A71" s="27"/>
      <c r="B71" s="28"/>
      <c r="C71" s="28"/>
      <c r="D71" s="28"/>
      <c r="E71" s="28"/>
      <c r="F71" s="28"/>
      <c r="G71" s="28"/>
      <c r="H71" s="28"/>
      <c r="I71" s="28"/>
      <c r="J71" s="28"/>
      <c r="K71" s="28"/>
      <c r="L71" s="28"/>
      <c r="M71" s="28"/>
      <c r="N71" s="28"/>
      <c r="O71" s="28"/>
      <c r="P71" s="28"/>
      <c r="Q71" s="28"/>
      <c r="R71" s="28"/>
      <c r="S71" s="57"/>
    </row>
    <row r="72" spans="1:19">
      <c r="A72" s="27"/>
      <c r="B72" s="28"/>
      <c r="C72" s="28"/>
      <c r="D72" s="28"/>
      <c r="E72" s="28"/>
      <c r="F72" s="28"/>
      <c r="G72" s="28"/>
      <c r="H72" s="28"/>
      <c r="I72" s="28"/>
      <c r="J72" s="28"/>
      <c r="K72" s="28"/>
      <c r="L72" s="28"/>
      <c r="M72" s="28"/>
      <c r="N72" s="28"/>
      <c r="O72" s="28"/>
      <c r="P72" s="28"/>
      <c r="Q72" s="28"/>
      <c r="R72" s="28"/>
      <c r="S72" s="57"/>
    </row>
    <row r="73" spans="1:19">
      <c r="A73" s="27"/>
      <c r="B73" s="28"/>
      <c r="C73" s="28"/>
      <c r="D73" s="28"/>
      <c r="E73" s="28"/>
      <c r="F73" s="28"/>
      <c r="G73" s="28"/>
      <c r="H73" s="28"/>
      <c r="I73" s="28"/>
      <c r="J73" s="28"/>
      <c r="K73" s="28"/>
      <c r="L73" s="28"/>
      <c r="M73" s="28"/>
      <c r="N73" s="28"/>
      <c r="O73" s="28"/>
      <c r="P73" s="28"/>
      <c r="Q73" s="28"/>
      <c r="R73" s="28"/>
      <c r="S73" s="57"/>
    </row>
    <row r="74" spans="1:19">
      <c r="A74" s="27"/>
      <c r="B74" s="28"/>
      <c r="C74" s="28"/>
      <c r="D74" s="28"/>
      <c r="E74" s="28"/>
      <c r="F74" s="28"/>
      <c r="G74" s="28"/>
      <c r="H74" s="28"/>
      <c r="I74" s="28"/>
      <c r="J74" s="28"/>
      <c r="K74" s="28"/>
      <c r="L74" s="28"/>
      <c r="M74" s="28"/>
      <c r="N74" s="28"/>
      <c r="O74" s="28"/>
      <c r="P74" s="28"/>
      <c r="Q74" s="28"/>
      <c r="R74" s="28"/>
      <c r="S74" s="57"/>
    </row>
    <row r="75" spans="1:19">
      <c r="A75" s="27"/>
      <c r="B75" s="28"/>
      <c r="C75" s="28"/>
      <c r="D75" s="28"/>
      <c r="E75" s="28"/>
      <c r="F75" s="28"/>
      <c r="G75" s="28"/>
      <c r="H75" s="28"/>
      <c r="I75" s="28"/>
      <c r="J75" s="28"/>
      <c r="K75" s="28"/>
      <c r="L75" s="28"/>
      <c r="M75" s="28"/>
      <c r="N75" s="28"/>
      <c r="O75" s="28"/>
      <c r="P75" s="28"/>
      <c r="Q75" s="28"/>
      <c r="R75" s="28"/>
      <c r="S75" s="57"/>
    </row>
    <row r="76" spans="1:19">
      <c r="A76" s="27"/>
      <c r="B76" s="28"/>
      <c r="C76" s="28"/>
      <c r="D76" s="28"/>
      <c r="E76" s="28"/>
      <c r="F76" s="28"/>
      <c r="G76" s="28"/>
      <c r="H76" s="28"/>
      <c r="I76" s="28"/>
      <c r="J76" s="28"/>
      <c r="K76" s="28"/>
      <c r="L76" s="28"/>
      <c r="M76" s="28"/>
      <c r="N76" s="28"/>
      <c r="O76" s="28"/>
      <c r="P76" s="28"/>
      <c r="Q76" s="28"/>
      <c r="R76" s="28"/>
      <c r="S76" s="57"/>
    </row>
    <row r="77" spans="1:19">
      <c r="A77" s="27"/>
      <c r="B77" s="28"/>
      <c r="C77" s="28"/>
      <c r="D77" s="28"/>
      <c r="E77" s="28"/>
      <c r="F77" s="28"/>
      <c r="G77" s="28"/>
      <c r="H77" s="28"/>
      <c r="I77" s="28"/>
      <c r="J77" s="28"/>
      <c r="K77" s="28"/>
      <c r="L77" s="28"/>
      <c r="M77" s="28"/>
      <c r="N77" s="28"/>
      <c r="O77" s="28"/>
      <c r="P77" s="28"/>
      <c r="Q77" s="28"/>
      <c r="R77" s="28"/>
      <c r="S77" s="57"/>
    </row>
    <row r="78" spans="1:19">
      <c r="A78" s="27"/>
      <c r="B78" s="28"/>
      <c r="C78" s="28"/>
      <c r="D78" s="28"/>
      <c r="E78" s="28"/>
      <c r="F78" s="28"/>
      <c r="G78" s="28"/>
      <c r="H78" s="28"/>
      <c r="I78" s="28"/>
      <c r="J78" s="28"/>
      <c r="K78" s="28"/>
      <c r="L78" s="28"/>
      <c r="M78" s="28"/>
      <c r="N78" s="28"/>
      <c r="O78" s="28"/>
      <c r="P78" s="28"/>
      <c r="Q78" s="28"/>
      <c r="R78" s="28"/>
      <c r="S78" s="57"/>
    </row>
    <row r="79" spans="1:19">
      <c r="A79" s="27"/>
      <c r="B79" s="28"/>
      <c r="C79" s="28"/>
      <c r="D79" s="28"/>
      <c r="E79" s="28"/>
      <c r="F79" s="28"/>
      <c r="G79" s="28"/>
      <c r="H79" s="28"/>
      <c r="I79" s="28"/>
      <c r="J79" s="28"/>
      <c r="K79" s="28"/>
      <c r="L79" s="28"/>
      <c r="M79" s="28"/>
      <c r="N79" s="28"/>
      <c r="O79" s="28"/>
      <c r="P79" s="28"/>
      <c r="Q79" s="28"/>
      <c r="R79" s="28"/>
      <c r="S79" s="57"/>
    </row>
    <row r="80" spans="1:19">
      <c r="A80" s="30"/>
      <c r="B80" s="31"/>
      <c r="C80" s="31"/>
      <c r="D80" s="31"/>
      <c r="E80" s="31"/>
      <c r="F80" s="31"/>
      <c r="G80" s="31"/>
      <c r="H80" s="31"/>
      <c r="I80" s="31"/>
      <c r="J80" s="31"/>
      <c r="K80" s="31"/>
      <c r="L80" s="31"/>
      <c r="M80" s="31"/>
      <c r="N80" s="31"/>
      <c r="O80" s="31"/>
      <c r="P80" s="31"/>
      <c r="Q80" s="31"/>
      <c r="R80" s="31"/>
      <c r="S80" s="58"/>
    </row>
    <row r="85" spans="1:40" ht="22.5">
      <c r="A85" s="86" t="s">
        <v>399</v>
      </c>
    </row>
    <row r="86" spans="1:40">
      <c r="A86" t="s">
        <v>140</v>
      </c>
      <c r="P86" t="s">
        <v>184</v>
      </c>
      <c r="AN86" t="s">
        <v>222</v>
      </c>
    </row>
    <row r="87" spans="1:40">
      <c r="A87" t="s">
        <v>141</v>
      </c>
      <c r="P87" s="23" t="s">
        <v>180</v>
      </c>
    </row>
    <row r="88" spans="1:40">
      <c r="A88" t="s">
        <v>142</v>
      </c>
      <c r="Q88" t="s">
        <v>213</v>
      </c>
    </row>
    <row r="89" spans="1:40">
      <c r="AB89" t="s">
        <v>212</v>
      </c>
    </row>
    <row r="90" spans="1:40">
      <c r="K90" s="28"/>
    </row>
    <row r="91" spans="1:40">
      <c r="K91" s="28"/>
    </row>
    <row r="92" spans="1:40">
      <c r="K92" s="28"/>
    </row>
    <row r="93" spans="1:40">
      <c r="K93" s="28"/>
      <c r="L93" t="s">
        <v>208</v>
      </c>
      <c r="M93" t="s">
        <v>209</v>
      </c>
    </row>
    <row r="94" spans="1:40">
      <c r="L94" s="28"/>
      <c r="M94" s="28"/>
    </row>
    <row r="95" spans="1:40">
      <c r="K95" t="s">
        <v>195</v>
      </c>
      <c r="L95" s="29" t="s">
        <v>211</v>
      </c>
      <c r="M95" t="s">
        <v>196</v>
      </c>
      <c r="N95" t="s">
        <v>195</v>
      </c>
      <c r="P95" t="s">
        <v>202</v>
      </c>
    </row>
    <row r="96" spans="1:40">
      <c r="K96">
        <v>2000</v>
      </c>
      <c r="L96" s="29">
        <v>500</v>
      </c>
      <c r="M96" s="36">
        <f>M103*1000</f>
        <v>400</v>
      </c>
      <c r="N96">
        <v>2494</v>
      </c>
      <c r="O96" t="s">
        <v>191</v>
      </c>
      <c r="P96" s="38">
        <f>M96/L96</f>
        <v>0.8</v>
      </c>
    </row>
    <row r="97" spans="11:16">
      <c r="K97">
        <v>3226</v>
      </c>
      <c r="L97" s="29">
        <v>310</v>
      </c>
      <c r="M97" s="36">
        <f>M104*1000</f>
        <v>180</v>
      </c>
      <c r="N97">
        <v>5497</v>
      </c>
      <c r="O97" t="s">
        <v>154</v>
      </c>
      <c r="P97" s="38">
        <f>M97/L97</f>
        <v>0.58064516129032262</v>
      </c>
    </row>
    <row r="98" spans="11:16">
      <c r="K98">
        <v>4167</v>
      </c>
      <c r="L98" s="29">
        <v>240</v>
      </c>
      <c r="M98" s="36">
        <f>M105*1000</f>
        <v>270</v>
      </c>
      <c r="N98">
        <f>374*10</f>
        <v>3740</v>
      </c>
      <c r="O98" t="s">
        <v>158</v>
      </c>
      <c r="P98" s="38">
        <f>M98/L98</f>
        <v>1.125</v>
      </c>
    </row>
    <row r="99" spans="11:16">
      <c r="K99">
        <v>3704</v>
      </c>
      <c r="L99" s="29">
        <v>270</v>
      </c>
      <c r="M99" s="36">
        <f>M106*1000</f>
        <v>3030</v>
      </c>
      <c r="N99">
        <v>330</v>
      </c>
      <c r="O99" t="s">
        <v>192</v>
      </c>
      <c r="P99" s="38">
        <f>M99/L99</f>
        <v>11.222222222222221</v>
      </c>
    </row>
    <row r="100" spans="11:16">
      <c r="L100" s="29"/>
    </row>
    <row r="101" spans="11:16">
      <c r="L101" s="29"/>
    </row>
    <row r="102" spans="11:16">
      <c r="L102" s="29" t="s">
        <v>210</v>
      </c>
      <c r="M102" t="s">
        <v>197</v>
      </c>
    </row>
    <row r="103" spans="11:16">
      <c r="L103" s="37">
        <f>L96/1000</f>
        <v>0.5</v>
      </c>
      <c r="M103" s="35">
        <f>ROUND(1000/N96,2)</f>
        <v>0.4</v>
      </c>
      <c r="O103" t="s">
        <v>191</v>
      </c>
    </row>
    <row r="104" spans="11:16">
      <c r="L104" s="37">
        <f>L97/1000</f>
        <v>0.31</v>
      </c>
      <c r="M104" s="35">
        <f>ROUND(1000/N97,2)</f>
        <v>0.18</v>
      </c>
      <c r="O104" t="s">
        <v>154</v>
      </c>
    </row>
    <row r="105" spans="11:16">
      <c r="L105" s="37">
        <f>L98/1000</f>
        <v>0.24</v>
      </c>
      <c r="M105" s="35">
        <f>ROUND(1000/N98,2)</f>
        <v>0.27</v>
      </c>
      <c r="O105" t="s">
        <v>158</v>
      </c>
    </row>
    <row r="106" spans="11:16">
      <c r="L106" s="37">
        <f>L99/1000</f>
        <v>0.27</v>
      </c>
      <c r="M106" s="35">
        <f>ROUND(1000/N99,2)</f>
        <v>3.03</v>
      </c>
      <c r="O106" t="s">
        <v>192</v>
      </c>
    </row>
    <row r="107" spans="11:16">
      <c r="L107" s="29"/>
    </row>
    <row r="110" spans="11:16">
      <c r="M110" t="s">
        <v>198</v>
      </c>
      <c r="N110" t="s">
        <v>199</v>
      </c>
    </row>
    <row r="111" spans="11:16">
      <c r="M111" s="35">
        <f>ROUND(1000/N111,2)</f>
        <v>2.67</v>
      </c>
      <c r="N111">
        <v>374</v>
      </c>
      <c r="O111" t="s">
        <v>193</v>
      </c>
    </row>
    <row r="112" spans="11:16">
      <c r="M112" s="35">
        <f>ROUND(1000/N112,2)</f>
        <v>2.38</v>
      </c>
      <c r="N112">
        <v>420</v>
      </c>
      <c r="O112" t="s">
        <v>194</v>
      </c>
    </row>
    <row r="137" spans="1:1">
      <c r="A137" t="s">
        <v>148</v>
      </c>
    </row>
    <row r="142" spans="1:1" s="61" customFormat="1"/>
    <row r="148" s="61" customFormat="1"/>
    <row r="154" s="61" customFormat="1"/>
    <row r="160" s="61" customFormat="1"/>
  </sheetData>
  <hyperlinks>
    <hyperlink ref="A31" r:id="rId1" xr:uid="{00000000-0004-0000-0500-000000000000}"/>
    <hyperlink ref="P87" r:id="rId2" xr:uid="{00000000-0004-0000-0500-000001000000}"/>
  </hyperlinks>
  <pageMargins left="0.7" right="0.7" top="0.78740157499999996" bottom="0.78740157499999996"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Q57"/>
  <sheetViews>
    <sheetView topLeftCell="A12" zoomScale="115" zoomScaleNormal="70" workbookViewId="0">
      <selection activeCell="A2" sqref="A2"/>
    </sheetView>
  </sheetViews>
  <sheetFormatPr baseColWidth="10" defaultRowHeight="12.3"/>
  <sheetData>
    <row r="1" spans="1:17" ht="60">
      <c r="A1" s="22" t="s">
        <v>187</v>
      </c>
      <c r="Q1" s="22" t="s">
        <v>188</v>
      </c>
    </row>
    <row r="2" spans="1:17">
      <c r="A2" s="23" t="s">
        <v>185</v>
      </c>
      <c r="Q2" s="23" t="s">
        <v>186</v>
      </c>
    </row>
    <row r="57" spans="1:1">
      <c r="A57" s="23" t="s">
        <v>207</v>
      </c>
    </row>
  </sheetData>
  <hyperlinks>
    <hyperlink ref="A2" r:id="rId1" xr:uid="{00000000-0004-0000-0100-000000000000}"/>
    <hyperlink ref="Q2" r:id="rId2" xr:uid="{00000000-0004-0000-0100-000001000000}"/>
    <hyperlink ref="A57" r:id="rId3" xr:uid="{00000000-0004-0000-0100-000002000000}"/>
  </hyperlinks>
  <pageMargins left="0.7" right="0.7" top="0.78740157499999996" bottom="0.78740157499999996"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B207"/>
  <sheetViews>
    <sheetView showGridLines="0" topLeftCell="A48" zoomScale="85" zoomScaleNormal="85" workbookViewId="0">
      <selection activeCell="D57" sqref="D57"/>
    </sheetView>
  </sheetViews>
  <sheetFormatPr baseColWidth="10" defaultColWidth="11.44140625" defaultRowHeight="12.3"/>
  <cols>
    <col min="1" max="1" width="2.88671875" style="89" customWidth="1"/>
    <col min="2" max="2" width="11.71875" style="89" customWidth="1"/>
    <col min="3" max="3" width="13.38671875" style="89" customWidth="1"/>
    <col min="4" max="16" width="10.1640625" style="89" customWidth="1"/>
    <col min="17" max="17" width="10.83203125" style="89" customWidth="1"/>
    <col min="18" max="18" width="11.44140625" style="89" customWidth="1"/>
    <col min="19" max="19" width="20.44140625" style="89" customWidth="1"/>
    <col min="20" max="16384" width="11.44140625" style="89"/>
  </cols>
  <sheetData>
    <row r="1" spans="2:25" ht="17.7">
      <c r="B1" s="157" t="s">
        <v>64</v>
      </c>
      <c r="T1" s="94">
        <v>0.06</v>
      </c>
      <c r="U1" s="94">
        <v>3</v>
      </c>
      <c r="V1" s="166"/>
      <c r="W1" s="166"/>
      <c r="Y1" s="153"/>
    </row>
    <row r="2" spans="2:25" ht="30.75" customHeight="1">
      <c r="B2" s="156"/>
      <c r="D2" s="349" t="s">
        <v>94</v>
      </c>
      <c r="E2" s="350"/>
      <c r="F2" s="350"/>
      <c r="G2" s="350"/>
      <c r="H2" s="350"/>
      <c r="I2" s="350"/>
      <c r="J2" s="350"/>
      <c r="K2" s="350"/>
      <c r="L2" s="350"/>
      <c r="M2" s="350"/>
      <c r="N2" s="351"/>
      <c r="O2" s="155"/>
      <c r="S2" s="151" t="s">
        <v>409</v>
      </c>
      <c r="T2" s="159" t="s">
        <v>410</v>
      </c>
      <c r="U2" s="167" t="str">
        <f>CONCATENATE("Strom Inland mit Faktor ",$U$1," für zB. Wärmepumpen")</f>
        <v>Strom Inland mit Faktor 3 für zB. Wärmepumpen</v>
      </c>
      <c r="V2" s="159" t="s">
        <v>20</v>
      </c>
      <c r="W2" s="159" t="s">
        <v>22</v>
      </c>
    </row>
    <row r="3" spans="2:25" s="148" customFormat="1" ht="37.200000000000003" thickBot="1">
      <c r="B3" s="151" t="s">
        <v>65</v>
      </c>
      <c r="C3" s="151" t="s">
        <v>429</v>
      </c>
      <c r="D3" s="150">
        <v>40</v>
      </c>
      <c r="E3" s="150">
        <v>60</v>
      </c>
      <c r="F3" s="150">
        <v>80</v>
      </c>
      <c r="G3" s="150">
        <v>100</v>
      </c>
      <c r="H3" s="150">
        <v>120</v>
      </c>
      <c r="I3" s="150">
        <v>140</v>
      </c>
      <c r="J3" s="150">
        <v>160</v>
      </c>
      <c r="K3" s="150">
        <v>180</v>
      </c>
      <c r="L3" s="150">
        <v>200</v>
      </c>
      <c r="M3" s="150">
        <v>220</v>
      </c>
      <c r="N3" s="150">
        <v>240</v>
      </c>
      <c r="O3" s="149">
        <v>120</v>
      </c>
      <c r="Q3" s="151" t="s">
        <v>65</v>
      </c>
      <c r="R3" s="151" t="s">
        <v>429</v>
      </c>
      <c r="S3" s="160">
        <v>1600</v>
      </c>
      <c r="T3" s="151" t="s">
        <v>411</v>
      </c>
      <c r="U3" s="160">
        <v>0.53700000000000003</v>
      </c>
      <c r="V3" s="160">
        <v>0.26600000000000001</v>
      </c>
      <c r="W3" s="160">
        <v>0.20200000000000001</v>
      </c>
    </row>
    <row r="4" spans="2:25" ht="13.8">
      <c r="B4" s="145" t="s">
        <v>66</v>
      </c>
      <c r="C4" s="144" t="s">
        <v>67</v>
      </c>
      <c r="D4" s="154" t="str">
        <f>CONCATENATE("(",LEFT($C4,3)," * ",D$3,")/1000)=",ROUND(((LEFT($C4,3)*D$3)/1000),0))</f>
        <v>(180 * 40)/1000)=7</v>
      </c>
      <c r="E4" s="146">
        <f t="shared" ref="E4:O12" si="0">ROUND(((LEFT($C4,3)*E$3)/1000),0)</f>
        <v>11</v>
      </c>
      <c r="F4" s="146">
        <f t="shared" si="0"/>
        <v>14</v>
      </c>
      <c r="G4" s="146">
        <f t="shared" si="0"/>
        <v>18</v>
      </c>
      <c r="H4" s="146">
        <f t="shared" si="0"/>
        <v>22</v>
      </c>
      <c r="I4" s="146">
        <f t="shared" si="0"/>
        <v>25</v>
      </c>
      <c r="J4" s="146">
        <f t="shared" si="0"/>
        <v>29</v>
      </c>
      <c r="K4" s="146">
        <f t="shared" si="0"/>
        <v>32</v>
      </c>
      <c r="L4" s="146">
        <f t="shared" si="0"/>
        <v>36</v>
      </c>
      <c r="M4" s="146">
        <f t="shared" si="0"/>
        <v>40</v>
      </c>
      <c r="N4" s="146">
        <f t="shared" si="0"/>
        <v>43</v>
      </c>
      <c r="O4" s="146">
        <f t="shared" si="0"/>
        <v>22</v>
      </c>
      <c r="Q4" s="145" t="s">
        <v>66</v>
      </c>
      <c r="R4" s="144" t="s">
        <v>67</v>
      </c>
      <c r="S4" s="161">
        <f t="shared" ref="S4:S12" si="1">O4*$S$3</f>
        <v>35200</v>
      </c>
      <c r="T4" s="162">
        <f t="shared" ref="T4:T12" si="2">S4*$T$1</f>
        <v>2112</v>
      </c>
      <c r="U4" s="163">
        <f>(S4*$U$3/1000)/$U$1</f>
        <v>6.3007999999999997</v>
      </c>
      <c r="V4" s="163">
        <f t="shared" ref="V4:V12" si="3">S4*$V$3/1000</f>
        <v>9.3632000000000009</v>
      </c>
      <c r="W4" s="163">
        <f t="shared" ref="W4:W12" si="4">S4*$V$3/1000</f>
        <v>9.3632000000000009</v>
      </c>
    </row>
    <row r="5" spans="2:25" ht="13.8">
      <c r="B5" s="145" t="s">
        <v>71</v>
      </c>
      <c r="C5" s="144" t="s">
        <v>72</v>
      </c>
      <c r="D5" s="143">
        <f t="shared" ref="D5:D12" si="5">ROUND(((LEFT($C5,3)*D$3)/1000),0)</f>
        <v>7</v>
      </c>
      <c r="E5" s="142">
        <f t="shared" si="0"/>
        <v>10</v>
      </c>
      <c r="F5" s="142">
        <f t="shared" si="0"/>
        <v>14</v>
      </c>
      <c r="G5" s="142">
        <f t="shared" si="0"/>
        <v>17</v>
      </c>
      <c r="H5" s="142">
        <f t="shared" si="0"/>
        <v>20</v>
      </c>
      <c r="I5" s="142">
        <f t="shared" si="0"/>
        <v>24</v>
      </c>
      <c r="J5" s="142">
        <f t="shared" si="0"/>
        <v>27</v>
      </c>
      <c r="K5" s="142">
        <f t="shared" si="0"/>
        <v>31</v>
      </c>
      <c r="L5" s="142">
        <f t="shared" si="0"/>
        <v>34</v>
      </c>
      <c r="M5" s="142">
        <f t="shared" si="0"/>
        <v>37</v>
      </c>
      <c r="N5" s="142">
        <f t="shared" si="0"/>
        <v>41</v>
      </c>
      <c r="O5" s="142">
        <f t="shared" si="0"/>
        <v>20</v>
      </c>
      <c r="Q5" s="145" t="s">
        <v>71</v>
      </c>
      <c r="R5" s="144" t="s">
        <v>72</v>
      </c>
      <c r="S5" s="161">
        <f t="shared" si="1"/>
        <v>32000</v>
      </c>
      <c r="T5" s="162">
        <f t="shared" si="2"/>
        <v>1920</v>
      </c>
      <c r="U5" s="163">
        <f t="shared" ref="U5:U12" si="6">(S5*$U$3/1000)/$U$1</f>
        <v>5.7280000000000006</v>
      </c>
      <c r="V5" s="163">
        <f t="shared" si="3"/>
        <v>8.5120000000000005</v>
      </c>
      <c r="W5" s="163">
        <f t="shared" si="4"/>
        <v>8.5120000000000005</v>
      </c>
    </row>
    <row r="6" spans="2:25" ht="13.8">
      <c r="B6" s="145" t="s">
        <v>75</v>
      </c>
      <c r="C6" s="144" t="s">
        <v>73</v>
      </c>
      <c r="D6" s="143">
        <f t="shared" si="5"/>
        <v>6</v>
      </c>
      <c r="E6" s="142">
        <f t="shared" si="0"/>
        <v>9</v>
      </c>
      <c r="F6" s="142">
        <f t="shared" si="0"/>
        <v>12</v>
      </c>
      <c r="G6" s="142">
        <f t="shared" si="0"/>
        <v>15</v>
      </c>
      <c r="H6" s="142">
        <f t="shared" si="0"/>
        <v>18</v>
      </c>
      <c r="I6" s="142">
        <f t="shared" si="0"/>
        <v>21</v>
      </c>
      <c r="J6" s="142">
        <f t="shared" si="0"/>
        <v>24</v>
      </c>
      <c r="K6" s="142">
        <f t="shared" si="0"/>
        <v>27</v>
      </c>
      <c r="L6" s="142">
        <f t="shared" si="0"/>
        <v>30</v>
      </c>
      <c r="M6" s="142">
        <f t="shared" si="0"/>
        <v>33</v>
      </c>
      <c r="N6" s="142">
        <f t="shared" si="0"/>
        <v>36</v>
      </c>
      <c r="O6" s="142">
        <f t="shared" si="0"/>
        <v>18</v>
      </c>
      <c r="Q6" s="145" t="s">
        <v>75</v>
      </c>
      <c r="R6" s="144" t="s">
        <v>73</v>
      </c>
      <c r="S6" s="161">
        <f t="shared" si="1"/>
        <v>28800</v>
      </c>
      <c r="T6" s="162">
        <f t="shared" si="2"/>
        <v>1728</v>
      </c>
      <c r="U6" s="163">
        <f t="shared" si="6"/>
        <v>5.1551999999999998</v>
      </c>
      <c r="V6" s="163">
        <f t="shared" si="3"/>
        <v>7.6608000000000001</v>
      </c>
      <c r="W6" s="163">
        <f t="shared" si="4"/>
        <v>7.6608000000000001</v>
      </c>
    </row>
    <row r="7" spans="2:25" ht="13.8">
      <c r="B7" s="145" t="s">
        <v>77</v>
      </c>
      <c r="C7" s="144" t="s">
        <v>78</v>
      </c>
      <c r="D7" s="143">
        <f t="shared" si="5"/>
        <v>5</v>
      </c>
      <c r="E7" s="142">
        <f t="shared" si="0"/>
        <v>7</v>
      </c>
      <c r="F7" s="142">
        <f t="shared" si="0"/>
        <v>9</v>
      </c>
      <c r="G7" s="142">
        <f t="shared" si="0"/>
        <v>12</v>
      </c>
      <c r="H7" s="142">
        <f t="shared" si="0"/>
        <v>14</v>
      </c>
      <c r="I7" s="142">
        <f t="shared" si="0"/>
        <v>16</v>
      </c>
      <c r="J7" s="142">
        <f t="shared" si="0"/>
        <v>18</v>
      </c>
      <c r="K7" s="142">
        <f t="shared" si="0"/>
        <v>21</v>
      </c>
      <c r="L7" s="142">
        <f t="shared" si="0"/>
        <v>23</v>
      </c>
      <c r="M7" s="142">
        <f t="shared" si="0"/>
        <v>25</v>
      </c>
      <c r="N7" s="142">
        <f t="shared" si="0"/>
        <v>28</v>
      </c>
      <c r="O7" s="142">
        <f t="shared" si="0"/>
        <v>14</v>
      </c>
      <c r="Q7" s="145" t="s">
        <v>77</v>
      </c>
      <c r="R7" s="144" t="s">
        <v>78</v>
      </c>
      <c r="S7" s="161">
        <f t="shared" si="1"/>
        <v>22400</v>
      </c>
      <c r="T7" s="162">
        <f t="shared" si="2"/>
        <v>1344</v>
      </c>
      <c r="U7" s="163">
        <f t="shared" si="6"/>
        <v>4.0095999999999998</v>
      </c>
      <c r="V7" s="163">
        <f t="shared" si="3"/>
        <v>5.9584000000000001</v>
      </c>
      <c r="W7" s="163">
        <f t="shared" si="4"/>
        <v>5.9584000000000001</v>
      </c>
    </row>
    <row r="8" spans="2:25" ht="13.8">
      <c r="B8" s="145" t="s">
        <v>81</v>
      </c>
      <c r="C8" s="144" t="s">
        <v>82</v>
      </c>
      <c r="D8" s="143">
        <f t="shared" si="5"/>
        <v>4</v>
      </c>
      <c r="E8" s="142">
        <f t="shared" si="0"/>
        <v>6</v>
      </c>
      <c r="F8" s="142">
        <f t="shared" si="0"/>
        <v>8</v>
      </c>
      <c r="G8" s="142">
        <f t="shared" si="0"/>
        <v>10</v>
      </c>
      <c r="H8" s="142">
        <f t="shared" si="0"/>
        <v>11</v>
      </c>
      <c r="I8" s="142">
        <f t="shared" si="0"/>
        <v>13</v>
      </c>
      <c r="J8" s="142">
        <f t="shared" si="0"/>
        <v>15</v>
      </c>
      <c r="K8" s="142">
        <f t="shared" si="0"/>
        <v>17</v>
      </c>
      <c r="L8" s="142">
        <f t="shared" si="0"/>
        <v>19</v>
      </c>
      <c r="M8" s="142">
        <f t="shared" si="0"/>
        <v>21</v>
      </c>
      <c r="N8" s="142">
        <f t="shared" si="0"/>
        <v>23</v>
      </c>
      <c r="O8" s="142">
        <f t="shared" si="0"/>
        <v>11</v>
      </c>
      <c r="Q8" s="145" t="s">
        <v>81</v>
      </c>
      <c r="R8" s="144" t="s">
        <v>82</v>
      </c>
      <c r="S8" s="161">
        <f t="shared" si="1"/>
        <v>17600</v>
      </c>
      <c r="T8" s="162">
        <f t="shared" si="2"/>
        <v>1056</v>
      </c>
      <c r="U8" s="163">
        <f t="shared" si="6"/>
        <v>3.1503999999999999</v>
      </c>
      <c r="V8" s="163">
        <f t="shared" si="3"/>
        <v>4.6816000000000004</v>
      </c>
      <c r="W8" s="163">
        <f t="shared" si="4"/>
        <v>4.6816000000000004</v>
      </c>
    </row>
    <row r="9" spans="2:25" ht="13.8">
      <c r="B9" s="145" t="s">
        <v>86</v>
      </c>
      <c r="C9" s="144" t="s">
        <v>80</v>
      </c>
      <c r="D9" s="143">
        <f t="shared" si="5"/>
        <v>3</v>
      </c>
      <c r="E9" s="142">
        <f t="shared" si="0"/>
        <v>5</v>
      </c>
      <c r="F9" s="142">
        <f t="shared" si="0"/>
        <v>6</v>
      </c>
      <c r="G9" s="142">
        <f t="shared" si="0"/>
        <v>8</v>
      </c>
      <c r="H9" s="142">
        <f t="shared" si="0"/>
        <v>9</v>
      </c>
      <c r="I9" s="142">
        <f t="shared" si="0"/>
        <v>11</v>
      </c>
      <c r="J9" s="142">
        <f t="shared" si="0"/>
        <v>12</v>
      </c>
      <c r="K9" s="142">
        <f t="shared" si="0"/>
        <v>14</v>
      </c>
      <c r="L9" s="142">
        <f t="shared" si="0"/>
        <v>15</v>
      </c>
      <c r="M9" s="142">
        <f t="shared" si="0"/>
        <v>17</v>
      </c>
      <c r="N9" s="142">
        <f t="shared" si="0"/>
        <v>18</v>
      </c>
      <c r="O9" s="142">
        <f t="shared" si="0"/>
        <v>9</v>
      </c>
      <c r="Q9" s="145" t="s">
        <v>86</v>
      </c>
      <c r="R9" s="144" t="s">
        <v>80</v>
      </c>
      <c r="S9" s="161">
        <f t="shared" si="1"/>
        <v>14400</v>
      </c>
      <c r="T9" s="162">
        <f t="shared" si="2"/>
        <v>864</v>
      </c>
      <c r="U9" s="163">
        <f t="shared" si="6"/>
        <v>2.5775999999999999</v>
      </c>
      <c r="V9" s="163">
        <f t="shared" si="3"/>
        <v>3.8304</v>
      </c>
      <c r="W9" s="163">
        <f t="shared" si="4"/>
        <v>3.8304</v>
      </c>
    </row>
    <row r="10" spans="2:25" ht="13.8">
      <c r="B10" s="145" t="s">
        <v>89</v>
      </c>
      <c r="C10" s="144" t="s">
        <v>88</v>
      </c>
      <c r="D10" s="143">
        <f t="shared" si="5"/>
        <v>2</v>
      </c>
      <c r="E10" s="142">
        <f t="shared" si="0"/>
        <v>4</v>
      </c>
      <c r="F10" s="142">
        <f t="shared" si="0"/>
        <v>5</v>
      </c>
      <c r="G10" s="142">
        <f t="shared" si="0"/>
        <v>6</v>
      </c>
      <c r="H10" s="142">
        <f t="shared" si="0"/>
        <v>7</v>
      </c>
      <c r="I10" s="142">
        <f t="shared" si="0"/>
        <v>8</v>
      </c>
      <c r="J10" s="142">
        <f t="shared" si="0"/>
        <v>10</v>
      </c>
      <c r="K10" s="142">
        <f t="shared" si="0"/>
        <v>11</v>
      </c>
      <c r="L10" s="142">
        <f t="shared" si="0"/>
        <v>12</v>
      </c>
      <c r="M10" s="142">
        <f t="shared" si="0"/>
        <v>13</v>
      </c>
      <c r="N10" s="142">
        <f t="shared" si="0"/>
        <v>14</v>
      </c>
      <c r="O10" s="142">
        <f t="shared" si="0"/>
        <v>7</v>
      </c>
      <c r="Q10" s="145" t="s">
        <v>89</v>
      </c>
      <c r="R10" s="144" t="s">
        <v>88</v>
      </c>
      <c r="S10" s="161">
        <f t="shared" si="1"/>
        <v>11200</v>
      </c>
      <c r="T10" s="162">
        <f t="shared" si="2"/>
        <v>672</v>
      </c>
      <c r="U10" s="163">
        <f t="shared" si="6"/>
        <v>2.0047999999999999</v>
      </c>
      <c r="V10" s="163">
        <f t="shared" si="3"/>
        <v>2.9792000000000001</v>
      </c>
      <c r="W10" s="163">
        <f t="shared" si="4"/>
        <v>2.9792000000000001</v>
      </c>
    </row>
    <row r="11" spans="2:25" ht="13.8">
      <c r="B11" s="145" t="s">
        <v>403</v>
      </c>
      <c r="C11" s="144" t="s">
        <v>405</v>
      </c>
      <c r="D11" s="143">
        <f t="shared" si="5"/>
        <v>1</v>
      </c>
      <c r="E11" s="142">
        <f t="shared" si="0"/>
        <v>2</v>
      </c>
      <c r="F11" s="142">
        <f t="shared" si="0"/>
        <v>3</v>
      </c>
      <c r="G11" s="142">
        <f t="shared" si="0"/>
        <v>4</v>
      </c>
      <c r="H11" s="142">
        <f t="shared" si="0"/>
        <v>4</v>
      </c>
      <c r="I11" s="142">
        <f t="shared" si="0"/>
        <v>5</v>
      </c>
      <c r="J11" s="142">
        <f t="shared" si="0"/>
        <v>6</v>
      </c>
      <c r="K11" s="142">
        <f t="shared" si="0"/>
        <v>6</v>
      </c>
      <c r="L11" s="142">
        <f t="shared" si="0"/>
        <v>7</v>
      </c>
      <c r="M11" s="142">
        <f t="shared" si="0"/>
        <v>8</v>
      </c>
      <c r="N11" s="142">
        <f t="shared" si="0"/>
        <v>8</v>
      </c>
      <c r="O11" s="142">
        <f t="shared" si="0"/>
        <v>4</v>
      </c>
      <c r="Q11" s="145" t="s">
        <v>403</v>
      </c>
      <c r="R11" s="144" t="s">
        <v>405</v>
      </c>
      <c r="S11" s="161">
        <f t="shared" si="1"/>
        <v>6400</v>
      </c>
      <c r="T11" s="162">
        <f t="shared" si="2"/>
        <v>384</v>
      </c>
      <c r="U11" s="163">
        <f t="shared" si="6"/>
        <v>1.1456000000000002</v>
      </c>
      <c r="V11" s="163">
        <f t="shared" si="3"/>
        <v>1.7024000000000001</v>
      </c>
      <c r="W11" s="163">
        <f t="shared" si="4"/>
        <v>1.7024000000000001</v>
      </c>
    </row>
    <row r="12" spans="2:25" ht="13.8">
      <c r="B12" s="145" t="s">
        <v>404</v>
      </c>
      <c r="C12" s="144" t="s">
        <v>402</v>
      </c>
      <c r="D12" s="143">
        <f t="shared" si="5"/>
        <v>1</v>
      </c>
      <c r="E12" s="142">
        <f t="shared" si="0"/>
        <v>1</v>
      </c>
      <c r="F12" s="142">
        <f t="shared" si="0"/>
        <v>1</v>
      </c>
      <c r="G12" s="142">
        <f t="shared" si="0"/>
        <v>2</v>
      </c>
      <c r="H12" s="142">
        <f t="shared" si="0"/>
        <v>2</v>
      </c>
      <c r="I12" s="142">
        <f t="shared" si="0"/>
        <v>2</v>
      </c>
      <c r="J12" s="142">
        <f t="shared" si="0"/>
        <v>2</v>
      </c>
      <c r="K12" s="142">
        <f t="shared" si="0"/>
        <v>3</v>
      </c>
      <c r="L12" s="142">
        <f t="shared" si="0"/>
        <v>3</v>
      </c>
      <c r="M12" s="142">
        <f t="shared" si="0"/>
        <v>3</v>
      </c>
      <c r="N12" s="142">
        <f t="shared" si="0"/>
        <v>4</v>
      </c>
      <c r="O12" s="142">
        <f t="shared" si="0"/>
        <v>2</v>
      </c>
      <c r="Q12" s="145" t="s">
        <v>404</v>
      </c>
      <c r="R12" s="144" t="s">
        <v>402</v>
      </c>
      <c r="S12" s="170">
        <f t="shared" si="1"/>
        <v>3200</v>
      </c>
      <c r="T12" s="162">
        <f t="shared" si="2"/>
        <v>192</v>
      </c>
      <c r="U12" s="163">
        <f t="shared" si="6"/>
        <v>0.57280000000000009</v>
      </c>
      <c r="V12" s="163">
        <f t="shared" si="3"/>
        <v>0.85120000000000007</v>
      </c>
      <c r="W12" s="163">
        <f t="shared" si="4"/>
        <v>0.85120000000000007</v>
      </c>
    </row>
    <row r="13" spans="2:25" s="148" customFormat="1" ht="26.25" customHeight="1" thickBot="1">
      <c r="B13" s="151" t="s">
        <v>65</v>
      </c>
      <c r="C13" s="151" t="s">
        <v>430</v>
      </c>
      <c r="D13" s="150">
        <v>40</v>
      </c>
      <c r="E13" s="150">
        <v>60</v>
      </c>
      <c r="F13" s="150">
        <v>80</v>
      </c>
      <c r="G13" s="150">
        <v>100</v>
      </c>
      <c r="H13" s="150">
        <v>120</v>
      </c>
      <c r="I13" s="150">
        <v>140</v>
      </c>
      <c r="J13" s="150">
        <v>160</v>
      </c>
      <c r="K13" s="150">
        <v>180</v>
      </c>
      <c r="L13" s="150">
        <v>200</v>
      </c>
      <c r="M13" s="150">
        <v>220</v>
      </c>
      <c r="N13" s="150">
        <v>240</v>
      </c>
      <c r="O13" s="149">
        <v>260</v>
      </c>
      <c r="S13" s="340" t="str">
        <f>CONCATENATE("Ergebnis bei KfW 40 und besser mit ",S12,"kWh/a? Es reicht eine Teelicht Heizung mit ",ROUND(S12/(42*S3/1000)*(S3/4.5),0)," Teelichtern aus. Das wären ", ROUND(S12/(42*S3/1000)*(S3/4.5)/100,0)," Packungen zu je 3€ für 100Teelichter also ca.",ROUND(S12/(42*S3/1000)*(S3/4.5)/100*3,0),"€ für Teelichter im Jahr! Bitte die Luftqualität (VOC) beachten!" )</f>
        <v>Ergebnis bei KfW 40 und besser mit 3200kWh/a? Es reicht eine Teelicht Heizung mit 16931 Teelichtern aus. Das wären 169 Packungen zu je 3€ für 100Teelichter also ca.508€ für Teelichter im Jahr! Bitte die Luftqualität (VOC) beachten!</v>
      </c>
      <c r="T13" s="340"/>
      <c r="U13" s="340"/>
      <c r="V13" s="340"/>
      <c r="W13" s="340"/>
      <c r="X13" s="340"/>
      <c r="Y13" s="340"/>
    </row>
    <row r="14" spans="2:25" ht="13.8">
      <c r="B14" s="145" t="s">
        <v>66</v>
      </c>
      <c r="C14" s="144" t="s">
        <v>68</v>
      </c>
      <c r="D14" s="147">
        <f t="shared" ref="D14:O22" si="7">ROUND(((LEFT($C14,3)*D$3)/1000),0)</f>
        <v>6</v>
      </c>
      <c r="E14" s="146">
        <f t="shared" si="7"/>
        <v>10</v>
      </c>
      <c r="F14" s="146">
        <f t="shared" si="7"/>
        <v>13</v>
      </c>
      <c r="G14" s="146">
        <f t="shared" si="7"/>
        <v>16</v>
      </c>
      <c r="H14" s="146">
        <f t="shared" si="7"/>
        <v>19</v>
      </c>
      <c r="I14" s="146">
        <f t="shared" si="7"/>
        <v>22</v>
      </c>
      <c r="J14" s="146">
        <f t="shared" si="7"/>
        <v>26</v>
      </c>
      <c r="K14" s="146">
        <f t="shared" si="7"/>
        <v>29</v>
      </c>
      <c r="L14" s="146">
        <f t="shared" si="7"/>
        <v>32</v>
      </c>
      <c r="M14" s="146">
        <f t="shared" si="7"/>
        <v>35</v>
      </c>
      <c r="N14" s="146">
        <f t="shared" si="7"/>
        <v>38</v>
      </c>
      <c r="O14" s="146">
        <f t="shared" si="7"/>
        <v>19</v>
      </c>
      <c r="S14" s="340"/>
      <c r="T14" s="340"/>
      <c r="U14" s="340"/>
      <c r="V14" s="340"/>
      <c r="W14" s="340"/>
      <c r="X14" s="340"/>
      <c r="Y14" s="340"/>
    </row>
    <row r="15" spans="2:25" ht="13.8">
      <c r="B15" s="145" t="s">
        <v>71</v>
      </c>
      <c r="C15" s="144" t="s">
        <v>73</v>
      </c>
      <c r="D15" s="143">
        <f t="shared" si="7"/>
        <v>6</v>
      </c>
      <c r="E15" s="142">
        <f t="shared" si="7"/>
        <v>9</v>
      </c>
      <c r="F15" s="142">
        <f t="shared" si="7"/>
        <v>12</v>
      </c>
      <c r="G15" s="142">
        <f t="shared" si="7"/>
        <v>15</v>
      </c>
      <c r="H15" s="142">
        <f t="shared" si="7"/>
        <v>18</v>
      </c>
      <c r="I15" s="142">
        <f t="shared" si="7"/>
        <v>21</v>
      </c>
      <c r="J15" s="142">
        <f t="shared" si="7"/>
        <v>24</v>
      </c>
      <c r="K15" s="142">
        <f t="shared" si="7"/>
        <v>27</v>
      </c>
      <c r="L15" s="142">
        <f t="shared" si="7"/>
        <v>30</v>
      </c>
      <c r="M15" s="142">
        <f t="shared" si="7"/>
        <v>33</v>
      </c>
      <c r="N15" s="142">
        <f t="shared" si="7"/>
        <v>36</v>
      </c>
      <c r="O15" s="142">
        <f t="shared" si="7"/>
        <v>18</v>
      </c>
      <c r="S15" s="90" t="s">
        <v>412</v>
      </c>
    </row>
    <row r="16" spans="2:25" ht="13.8">
      <c r="B16" s="145" t="s">
        <v>75</v>
      </c>
      <c r="C16" s="144" t="s">
        <v>70</v>
      </c>
      <c r="D16" s="143">
        <f t="shared" si="7"/>
        <v>5</v>
      </c>
      <c r="E16" s="142">
        <f t="shared" si="7"/>
        <v>8</v>
      </c>
      <c r="F16" s="142">
        <f t="shared" si="7"/>
        <v>10</v>
      </c>
      <c r="G16" s="142">
        <f t="shared" si="7"/>
        <v>13</v>
      </c>
      <c r="H16" s="142">
        <f t="shared" si="7"/>
        <v>16</v>
      </c>
      <c r="I16" s="142">
        <f t="shared" si="7"/>
        <v>18</v>
      </c>
      <c r="J16" s="142">
        <f t="shared" si="7"/>
        <v>21</v>
      </c>
      <c r="K16" s="142">
        <f t="shared" si="7"/>
        <v>23</v>
      </c>
      <c r="L16" s="142">
        <f t="shared" si="7"/>
        <v>26</v>
      </c>
      <c r="M16" s="142">
        <f t="shared" si="7"/>
        <v>29</v>
      </c>
      <c r="N16" s="142">
        <f t="shared" si="7"/>
        <v>31</v>
      </c>
      <c r="O16" s="142">
        <f t="shared" si="7"/>
        <v>16</v>
      </c>
      <c r="S16" s="90" t="s">
        <v>413</v>
      </c>
    </row>
    <row r="17" spans="2:28" ht="13.8">
      <c r="B17" s="145" t="s">
        <v>77</v>
      </c>
      <c r="C17" s="144" t="s">
        <v>76</v>
      </c>
      <c r="D17" s="143">
        <f t="shared" si="7"/>
        <v>4</v>
      </c>
      <c r="E17" s="142">
        <f t="shared" si="7"/>
        <v>7</v>
      </c>
      <c r="F17" s="142">
        <f t="shared" si="7"/>
        <v>9</v>
      </c>
      <c r="G17" s="142">
        <f t="shared" si="7"/>
        <v>11</v>
      </c>
      <c r="H17" s="142">
        <f t="shared" si="7"/>
        <v>13</v>
      </c>
      <c r="I17" s="142">
        <f t="shared" si="7"/>
        <v>15</v>
      </c>
      <c r="J17" s="142">
        <f t="shared" si="7"/>
        <v>18</v>
      </c>
      <c r="K17" s="142">
        <f t="shared" si="7"/>
        <v>20</v>
      </c>
      <c r="L17" s="142">
        <f t="shared" si="7"/>
        <v>22</v>
      </c>
      <c r="M17" s="142">
        <f t="shared" si="7"/>
        <v>24</v>
      </c>
      <c r="N17" s="142">
        <f t="shared" si="7"/>
        <v>26</v>
      </c>
      <c r="O17" s="142">
        <f t="shared" si="7"/>
        <v>13</v>
      </c>
      <c r="S17" s="90" t="s">
        <v>414</v>
      </c>
    </row>
    <row r="18" spans="2:28" ht="13.8">
      <c r="B18" s="145" t="s">
        <v>81</v>
      </c>
      <c r="C18" s="144" t="s">
        <v>83</v>
      </c>
      <c r="D18" s="143">
        <f t="shared" si="7"/>
        <v>4</v>
      </c>
      <c r="E18" s="142">
        <f t="shared" si="7"/>
        <v>5</v>
      </c>
      <c r="F18" s="142">
        <f t="shared" si="7"/>
        <v>7</v>
      </c>
      <c r="G18" s="142">
        <f t="shared" si="7"/>
        <v>9</v>
      </c>
      <c r="H18" s="142">
        <f t="shared" si="7"/>
        <v>11</v>
      </c>
      <c r="I18" s="142">
        <f t="shared" si="7"/>
        <v>13</v>
      </c>
      <c r="J18" s="142">
        <f t="shared" si="7"/>
        <v>14</v>
      </c>
      <c r="K18" s="142">
        <f t="shared" si="7"/>
        <v>16</v>
      </c>
      <c r="L18" s="142">
        <f t="shared" si="7"/>
        <v>18</v>
      </c>
      <c r="M18" s="142">
        <f t="shared" si="7"/>
        <v>20</v>
      </c>
      <c r="N18" s="142">
        <f t="shared" si="7"/>
        <v>22</v>
      </c>
      <c r="O18" s="142">
        <f t="shared" si="7"/>
        <v>11</v>
      </c>
      <c r="S18" s="90" t="s">
        <v>415</v>
      </c>
    </row>
    <row r="19" spans="2:28" ht="13.8">
      <c r="B19" s="145" t="s">
        <v>86</v>
      </c>
      <c r="C19" s="144" t="s">
        <v>87</v>
      </c>
      <c r="D19" s="143">
        <f t="shared" si="7"/>
        <v>3</v>
      </c>
      <c r="E19" s="142">
        <f t="shared" si="7"/>
        <v>4</v>
      </c>
      <c r="F19" s="142">
        <f t="shared" si="7"/>
        <v>6</v>
      </c>
      <c r="G19" s="142">
        <f t="shared" si="7"/>
        <v>7</v>
      </c>
      <c r="H19" s="142">
        <f t="shared" si="7"/>
        <v>8</v>
      </c>
      <c r="I19" s="142">
        <f t="shared" si="7"/>
        <v>10</v>
      </c>
      <c r="J19" s="142">
        <f t="shared" si="7"/>
        <v>11</v>
      </c>
      <c r="K19" s="142">
        <f t="shared" si="7"/>
        <v>13</v>
      </c>
      <c r="L19" s="142">
        <f t="shared" si="7"/>
        <v>14</v>
      </c>
      <c r="M19" s="142">
        <f t="shared" si="7"/>
        <v>15</v>
      </c>
      <c r="N19" s="142">
        <f t="shared" si="7"/>
        <v>17</v>
      </c>
      <c r="O19" s="142">
        <f t="shared" si="7"/>
        <v>8</v>
      </c>
      <c r="S19" s="90" t="s">
        <v>416</v>
      </c>
    </row>
    <row r="20" spans="2:28" ht="13.8">
      <c r="B20" s="145" t="s">
        <v>89</v>
      </c>
      <c r="C20" s="144" t="s">
        <v>90</v>
      </c>
      <c r="D20" s="143">
        <f t="shared" si="7"/>
        <v>2</v>
      </c>
      <c r="E20" s="142">
        <f t="shared" si="7"/>
        <v>3</v>
      </c>
      <c r="F20" s="142">
        <f t="shared" si="7"/>
        <v>4</v>
      </c>
      <c r="G20" s="142">
        <f t="shared" si="7"/>
        <v>6</v>
      </c>
      <c r="H20" s="142">
        <f t="shared" si="7"/>
        <v>7</v>
      </c>
      <c r="I20" s="142">
        <f t="shared" si="7"/>
        <v>8</v>
      </c>
      <c r="J20" s="142">
        <f t="shared" si="7"/>
        <v>9</v>
      </c>
      <c r="K20" s="142">
        <f t="shared" si="7"/>
        <v>10</v>
      </c>
      <c r="L20" s="142">
        <f t="shared" si="7"/>
        <v>11</v>
      </c>
      <c r="M20" s="142">
        <f t="shared" si="7"/>
        <v>12</v>
      </c>
      <c r="N20" s="142">
        <f t="shared" si="7"/>
        <v>13</v>
      </c>
      <c r="O20" s="142">
        <f t="shared" si="7"/>
        <v>7</v>
      </c>
      <c r="S20" s="90"/>
    </row>
    <row r="21" spans="2:28" ht="13.8">
      <c r="B21" s="145" t="s">
        <v>403</v>
      </c>
      <c r="C21" s="144" t="s">
        <v>405</v>
      </c>
      <c r="D21" s="143">
        <f t="shared" si="7"/>
        <v>1</v>
      </c>
      <c r="E21" s="142">
        <f t="shared" si="7"/>
        <v>2</v>
      </c>
      <c r="F21" s="142">
        <f t="shared" si="7"/>
        <v>3</v>
      </c>
      <c r="G21" s="142">
        <f t="shared" si="7"/>
        <v>4</v>
      </c>
      <c r="H21" s="142">
        <f t="shared" si="7"/>
        <v>4</v>
      </c>
      <c r="I21" s="142">
        <f t="shared" si="7"/>
        <v>5</v>
      </c>
      <c r="J21" s="142">
        <f t="shared" si="7"/>
        <v>6</v>
      </c>
      <c r="K21" s="142">
        <f t="shared" si="7"/>
        <v>6</v>
      </c>
      <c r="L21" s="142">
        <f t="shared" si="7"/>
        <v>7</v>
      </c>
      <c r="M21" s="142">
        <f t="shared" si="7"/>
        <v>8</v>
      </c>
      <c r="N21" s="142">
        <f t="shared" si="7"/>
        <v>8</v>
      </c>
      <c r="O21" s="142">
        <f t="shared" si="7"/>
        <v>4</v>
      </c>
      <c r="S21" s="90" t="s">
        <v>417</v>
      </c>
      <c r="U21" s="153"/>
    </row>
    <row r="22" spans="2:28" ht="13.8">
      <c r="B22" s="145" t="s">
        <v>404</v>
      </c>
      <c r="C22" s="144" t="s">
        <v>402</v>
      </c>
      <c r="D22" s="143">
        <f t="shared" si="7"/>
        <v>1</v>
      </c>
      <c r="E22" s="142">
        <f t="shared" si="7"/>
        <v>1</v>
      </c>
      <c r="F22" s="142">
        <f t="shared" si="7"/>
        <v>1</v>
      </c>
      <c r="G22" s="142">
        <f t="shared" si="7"/>
        <v>2</v>
      </c>
      <c r="H22" s="142">
        <f t="shared" si="7"/>
        <v>2</v>
      </c>
      <c r="I22" s="142">
        <f t="shared" si="7"/>
        <v>2</v>
      </c>
      <c r="J22" s="142">
        <f t="shared" si="7"/>
        <v>2</v>
      </c>
      <c r="K22" s="142">
        <f t="shared" si="7"/>
        <v>3</v>
      </c>
      <c r="L22" s="142">
        <f t="shared" si="7"/>
        <v>3</v>
      </c>
      <c r="M22" s="142">
        <f t="shared" si="7"/>
        <v>3</v>
      </c>
      <c r="N22" s="142">
        <f t="shared" si="7"/>
        <v>4</v>
      </c>
      <c r="O22" s="142">
        <f t="shared" si="7"/>
        <v>2</v>
      </c>
      <c r="S22" s="90"/>
    </row>
    <row r="23" spans="2:28" s="148" customFormat="1" ht="24.9" thickBot="1">
      <c r="B23" s="151" t="s">
        <v>65</v>
      </c>
      <c r="C23" s="151" t="s">
        <v>431</v>
      </c>
      <c r="D23" s="150">
        <v>90</v>
      </c>
      <c r="E23" s="150">
        <v>60</v>
      </c>
      <c r="F23" s="150">
        <v>80</v>
      </c>
      <c r="G23" s="150">
        <v>100</v>
      </c>
      <c r="H23" s="150">
        <v>120</v>
      </c>
      <c r="I23" s="150">
        <v>140</v>
      </c>
      <c r="J23" s="150">
        <v>160</v>
      </c>
      <c r="K23" s="150">
        <v>180</v>
      </c>
      <c r="L23" s="150">
        <v>200</v>
      </c>
      <c r="M23" s="150">
        <v>220</v>
      </c>
      <c r="N23" s="150">
        <v>240</v>
      </c>
      <c r="O23" s="149">
        <v>260</v>
      </c>
      <c r="S23" s="152" t="s">
        <v>418</v>
      </c>
    </row>
    <row r="24" spans="2:28" ht="13.8">
      <c r="B24" s="145" t="s">
        <v>66</v>
      </c>
      <c r="C24" s="144" t="s">
        <v>69</v>
      </c>
      <c r="D24" s="147">
        <f t="shared" ref="D24:O32" si="8">ROUND(((LEFT($C24,3)*D$3)/1000),0)</f>
        <v>6</v>
      </c>
      <c r="E24" s="146">
        <f t="shared" si="8"/>
        <v>8</v>
      </c>
      <c r="F24" s="146">
        <f t="shared" si="8"/>
        <v>11</v>
      </c>
      <c r="G24" s="146">
        <f t="shared" si="8"/>
        <v>14</v>
      </c>
      <c r="H24" s="146">
        <f t="shared" si="8"/>
        <v>17</v>
      </c>
      <c r="I24" s="146">
        <f t="shared" si="8"/>
        <v>20</v>
      </c>
      <c r="J24" s="146">
        <f t="shared" si="8"/>
        <v>22</v>
      </c>
      <c r="K24" s="146">
        <f t="shared" si="8"/>
        <v>25</v>
      </c>
      <c r="L24" s="146">
        <f t="shared" si="8"/>
        <v>28</v>
      </c>
      <c r="M24" s="146">
        <f t="shared" si="8"/>
        <v>31</v>
      </c>
      <c r="N24" s="146">
        <f t="shared" si="8"/>
        <v>34</v>
      </c>
      <c r="O24" s="146">
        <f t="shared" si="8"/>
        <v>17</v>
      </c>
      <c r="S24" s="90"/>
    </row>
    <row r="25" spans="2:28" ht="13.8">
      <c r="B25" s="145" t="s">
        <v>71</v>
      </c>
      <c r="C25" s="144" t="s">
        <v>70</v>
      </c>
      <c r="D25" s="143">
        <f t="shared" si="8"/>
        <v>5</v>
      </c>
      <c r="E25" s="142">
        <f t="shared" si="8"/>
        <v>8</v>
      </c>
      <c r="F25" s="142">
        <f t="shared" si="8"/>
        <v>10</v>
      </c>
      <c r="G25" s="142">
        <f t="shared" si="8"/>
        <v>13</v>
      </c>
      <c r="H25" s="142">
        <f t="shared" si="8"/>
        <v>16</v>
      </c>
      <c r="I25" s="142">
        <f t="shared" si="8"/>
        <v>18</v>
      </c>
      <c r="J25" s="142">
        <f t="shared" si="8"/>
        <v>21</v>
      </c>
      <c r="K25" s="142">
        <f t="shared" si="8"/>
        <v>23</v>
      </c>
      <c r="L25" s="142">
        <f t="shared" si="8"/>
        <v>26</v>
      </c>
      <c r="M25" s="142">
        <f t="shared" si="8"/>
        <v>29</v>
      </c>
      <c r="N25" s="142">
        <f t="shared" si="8"/>
        <v>31</v>
      </c>
      <c r="O25" s="142">
        <f t="shared" si="8"/>
        <v>16</v>
      </c>
      <c r="S25" s="90" t="s">
        <v>419</v>
      </c>
    </row>
    <row r="26" spans="2:28" ht="13.8">
      <c r="B26" s="145" t="s">
        <v>75</v>
      </c>
      <c r="C26" s="144" t="s">
        <v>74</v>
      </c>
      <c r="D26" s="143">
        <f t="shared" si="8"/>
        <v>5</v>
      </c>
      <c r="E26" s="142">
        <f t="shared" si="8"/>
        <v>7</v>
      </c>
      <c r="F26" s="142">
        <f t="shared" si="8"/>
        <v>10</v>
      </c>
      <c r="G26" s="142">
        <f t="shared" si="8"/>
        <v>12</v>
      </c>
      <c r="H26" s="142">
        <f t="shared" si="8"/>
        <v>14</v>
      </c>
      <c r="I26" s="142">
        <f t="shared" si="8"/>
        <v>17</v>
      </c>
      <c r="J26" s="142">
        <f t="shared" si="8"/>
        <v>19</v>
      </c>
      <c r="K26" s="142">
        <f t="shared" si="8"/>
        <v>22</v>
      </c>
      <c r="L26" s="142">
        <f t="shared" si="8"/>
        <v>24</v>
      </c>
      <c r="M26" s="142">
        <f t="shared" si="8"/>
        <v>26</v>
      </c>
      <c r="N26" s="142">
        <f t="shared" si="8"/>
        <v>29</v>
      </c>
      <c r="O26" s="142">
        <f t="shared" si="8"/>
        <v>14</v>
      </c>
      <c r="S26" s="90" t="s">
        <v>420</v>
      </c>
    </row>
    <row r="27" spans="2:28" ht="13.8">
      <c r="B27" s="145" t="s">
        <v>77</v>
      </c>
      <c r="C27" s="144" t="s">
        <v>79</v>
      </c>
      <c r="D27" s="143">
        <f t="shared" si="8"/>
        <v>4</v>
      </c>
      <c r="E27" s="142">
        <f t="shared" si="8"/>
        <v>6</v>
      </c>
      <c r="F27" s="142">
        <f t="shared" si="8"/>
        <v>8</v>
      </c>
      <c r="G27" s="142">
        <f t="shared" si="8"/>
        <v>10</v>
      </c>
      <c r="H27" s="142">
        <f t="shared" si="8"/>
        <v>12</v>
      </c>
      <c r="I27" s="142">
        <f t="shared" si="8"/>
        <v>14</v>
      </c>
      <c r="J27" s="142">
        <f t="shared" si="8"/>
        <v>16</v>
      </c>
      <c r="K27" s="142">
        <f t="shared" si="8"/>
        <v>18</v>
      </c>
      <c r="L27" s="142">
        <f t="shared" si="8"/>
        <v>20</v>
      </c>
      <c r="M27" s="142">
        <f t="shared" si="8"/>
        <v>22</v>
      </c>
      <c r="N27" s="142">
        <f t="shared" si="8"/>
        <v>24</v>
      </c>
      <c r="O27" s="142">
        <f t="shared" si="8"/>
        <v>12</v>
      </c>
      <c r="S27" s="90" t="s">
        <v>421</v>
      </c>
    </row>
    <row r="28" spans="2:28" ht="13.8">
      <c r="B28" s="145" t="s">
        <v>81</v>
      </c>
      <c r="C28" s="144" t="s">
        <v>84</v>
      </c>
      <c r="D28" s="143">
        <f t="shared" si="8"/>
        <v>3</v>
      </c>
      <c r="E28" s="142">
        <f t="shared" si="8"/>
        <v>5</v>
      </c>
      <c r="F28" s="142">
        <f t="shared" si="8"/>
        <v>7</v>
      </c>
      <c r="G28" s="142">
        <f t="shared" si="8"/>
        <v>9</v>
      </c>
      <c r="H28" s="142">
        <f t="shared" si="8"/>
        <v>10</v>
      </c>
      <c r="I28" s="142">
        <f t="shared" si="8"/>
        <v>12</v>
      </c>
      <c r="J28" s="142">
        <f t="shared" si="8"/>
        <v>14</v>
      </c>
      <c r="K28" s="142">
        <f t="shared" si="8"/>
        <v>15</v>
      </c>
      <c r="L28" s="142">
        <f t="shared" si="8"/>
        <v>17</v>
      </c>
      <c r="M28" s="142">
        <f t="shared" si="8"/>
        <v>19</v>
      </c>
      <c r="N28" s="142">
        <f t="shared" si="8"/>
        <v>20</v>
      </c>
      <c r="O28" s="142">
        <f t="shared" si="8"/>
        <v>10</v>
      </c>
      <c r="S28" s="90" t="s">
        <v>422</v>
      </c>
      <c r="AB28" s="90" t="s">
        <v>423</v>
      </c>
    </row>
    <row r="29" spans="2:28" ht="13.8">
      <c r="B29" s="145" t="s">
        <v>86</v>
      </c>
      <c r="C29" s="144" t="s">
        <v>85</v>
      </c>
      <c r="D29" s="143">
        <f t="shared" si="8"/>
        <v>3</v>
      </c>
      <c r="E29" s="142">
        <f t="shared" si="8"/>
        <v>4</v>
      </c>
      <c r="F29" s="142">
        <f t="shared" si="8"/>
        <v>5</v>
      </c>
      <c r="G29" s="142">
        <f t="shared" si="8"/>
        <v>7</v>
      </c>
      <c r="H29" s="142">
        <f t="shared" si="8"/>
        <v>8</v>
      </c>
      <c r="I29" s="142">
        <f t="shared" si="8"/>
        <v>9</v>
      </c>
      <c r="J29" s="142">
        <f t="shared" si="8"/>
        <v>10</v>
      </c>
      <c r="K29" s="142">
        <f t="shared" si="8"/>
        <v>12</v>
      </c>
      <c r="L29" s="142">
        <f t="shared" si="8"/>
        <v>13</v>
      </c>
      <c r="M29" s="142">
        <f t="shared" si="8"/>
        <v>14</v>
      </c>
      <c r="N29" s="142">
        <f t="shared" si="8"/>
        <v>16</v>
      </c>
      <c r="O29" s="142">
        <f t="shared" si="8"/>
        <v>8</v>
      </c>
      <c r="S29" s="90" t="s">
        <v>424</v>
      </c>
    </row>
    <row r="30" spans="2:28" ht="13.8">
      <c r="B30" s="145" t="s">
        <v>89</v>
      </c>
      <c r="C30" s="144" t="s">
        <v>91</v>
      </c>
      <c r="D30" s="143">
        <f t="shared" si="8"/>
        <v>2</v>
      </c>
      <c r="E30" s="142">
        <f t="shared" si="8"/>
        <v>3</v>
      </c>
      <c r="F30" s="142">
        <f t="shared" si="8"/>
        <v>4</v>
      </c>
      <c r="G30" s="142">
        <f t="shared" si="8"/>
        <v>5</v>
      </c>
      <c r="H30" s="142">
        <f t="shared" si="8"/>
        <v>6</v>
      </c>
      <c r="I30" s="142">
        <f t="shared" si="8"/>
        <v>7</v>
      </c>
      <c r="J30" s="142">
        <f t="shared" si="8"/>
        <v>8</v>
      </c>
      <c r="K30" s="142">
        <f t="shared" si="8"/>
        <v>9</v>
      </c>
      <c r="L30" s="142">
        <f t="shared" si="8"/>
        <v>10</v>
      </c>
      <c r="M30" s="142">
        <f t="shared" si="8"/>
        <v>11</v>
      </c>
      <c r="N30" s="142">
        <f t="shared" si="8"/>
        <v>12</v>
      </c>
      <c r="O30" s="142">
        <f t="shared" si="8"/>
        <v>6</v>
      </c>
      <c r="S30" s="90" t="s">
        <v>425</v>
      </c>
    </row>
    <row r="31" spans="2:28" ht="13.8">
      <c r="B31" s="145" t="s">
        <v>403</v>
      </c>
      <c r="C31" s="144" t="s">
        <v>405</v>
      </c>
      <c r="D31" s="143">
        <f t="shared" si="8"/>
        <v>1</v>
      </c>
      <c r="E31" s="142">
        <f t="shared" si="8"/>
        <v>2</v>
      </c>
      <c r="F31" s="142">
        <f t="shared" si="8"/>
        <v>3</v>
      </c>
      <c r="G31" s="142">
        <f t="shared" si="8"/>
        <v>4</v>
      </c>
      <c r="H31" s="142">
        <f t="shared" si="8"/>
        <v>4</v>
      </c>
      <c r="I31" s="142">
        <f t="shared" si="8"/>
        <v>5</v>
      </c>
      <c r="J31" s="142">
        <f t="shared" si="8"/>
        <v>6</v>
      </c>
      <c r="K31" s="142">
        <f t="shared" si="8"/>
        <v>6</v>
      </c>
      <c r="L31" s="142">
        <f t="shared" si="8"/>
        <v>7</v>
      </c>
      <c r="M31" s="142">
        <f t="shared" si="8"/>
        <v>8</v>
      </c>
      <c r="N31" s="142">
        <f t="shared" si="8"/>
        <v>8</v>
      </c>
      <c r="O31" s="142">
        <f t="shared" si="8"/>
        <v>4</v>
      </c>
    </row>
    <row r="32" spans="2:28" ht="13.8">
      <c r="B32" s="145" t="s">
        <v>404</v>
      </c>
      <c r="C32" s="144" t="s">
        <v>402</v>
      </c>
      <c r="D32" s="143">
        <f t="shared" si="8"/>
        <v>1</v>
      </c>
      <c r="E32" s="142">
        <f t="shared" si="8"/>
        <v>1</v>
      </c>
      <c r="F32" s="142">
        <f t="shared" si="8"/>
        <v>1</v>
      </c>
      <c r="G32" s="142">
        <f t="shared" si="8"/>
        <v>2</v>
      </c>
      <c r="H32" s="142">
        <f t="shared" si="8"/>
        <v>2</v>
      </c>
      <c r="I32" s="142">
        <f t="shared" si="8"/>
        <v>2</v>
      </c>
      <c r="J32" s="142">
        <f t="shared" si="8"/>
        <v>2</v>
      </c>
      <c r="K32" s="142">
        <f t="shared" si="8"/>
        <v>3</v>
      </c>
      <c r="L32" s="142">
        <f t="shared" si="8"/>
        <v>3</v>
      </c>
      <c r="M32" s="142">
        <f t="shared" si="8"/>
        <v>3</v>
      </c>
      <c r="N32" s="142">
        <f t="shared" si="8"/>
        <v>4</v>
      </c>
      <c r="O32" s="142">
        <f t="shared" si="8"/>
        <v>2</v>
      </c>
    </row>
    <row r="33" spans="2:15" s="148" customFormat="1" ht="24.9" thickBot="1">
      <c r="B33" s="151" t="s">
        <v>65</v>
      </c>
      <c r="C33" s="151" t="s">
        <v>432</v>
      </c>
      <c r="D33" s="150">
        <v>240</v>
      </c>
      <c r="E33" s="150">
        <v>320</v>
      </c>
      <c r="F33" s="150">
        <v>400</v>
      </c>
      <c r="G33" s="150">
        <v>480</v>
      </c>
      <c r="H33" s="150">
        <v>560</v>
      </c>
      <c r="I33" s="150">
        <v>640</v>
      </c>
      <c r="J33" s="150">
        <v>720</v>
      </c>
      <c r="K33" s="150">
        <v>800</v>
      </c>
      <c r="L33" s="150">
        <v>880</v>
      </c>
      <c r="M33" s="150">
        <v>960</v>
      </c>
      <c r="N33" s="150">
        <v>1040</v>
      </c>
      <c r="O33" s="149">
        <v>1120</v>
      </c>
    </row>
    <row r="34" spans="2:15" ht="13.8">
      <c r="B34" s="145" t="s">
        <v>66</v>
      </c>
      <c r="C34" s="144" t="s">
        <v>70</v>
      </c>
      <c r="D34" s="147">
        <f t="shared" ref="D34:O42" si="9">ROUND(((LEFT($C34,3)*D$33)/1000),0)</f>
        <v>31</v>
      </c>
      <c r="E34" s="146">
        <f t="shared" si="9"/>
        <v>42</v>
      </c>
      <c r="F34" s="146">
        <f t="shared" si="9"/>
        <v>52</v>
      </c>
      <c r="G34" s="146">
        <f t="shared" si="9"/>
        <v>62</v>
      </c>
      <c r="H34" s="146">
        <f t="shared" si="9"/>
        <v>73</v>
      </c>
      <c r="I34" s="146">
        <f t="shared" si="9"/>
        <v>83</v>
      </c>
      <c r="J34" s="146">
        <f t="shared" si="9"/>
        <v>94</v>
      </c>
      <c r="K34" s="146">
        <f t="shared" si="9"/>
        <v>104</v>
      </c>
      <c r="L34" s="146">
        <f t="shared" si="9"/>
        <v>114</v>
      </c>
      <c r="M34" s="146">
        <f t="shared" si="9"/>
        <v>125</v>
      </c>
      <c r="N34" s="146">
        <f t="shared" si="9"/>
        <v>135</v>
      </c>
      <c r="O34" s="146">
        <f t="shared" si="9"/>
        <v>146</v>
      </c>
    </row>
    <row r="35" spans="2:15" ht="13.8">
      <c r="B35" s="145" t="s">
        <v>71</v>
      </c>
      <c r="C35" s="144" t="s">
        <v>74</v>
      </c>
      <c r="D35" s="143">
        <f t="shared" si="9"/>
        <v>29</v>
      </c>
      <c r="E35" s="142">
        <f t="shared" si="9"/>
        <v>38</v>
      </c>
      <c r="F35" s="142">
        <f t="shared" si="9"/>
        <v>48</v>
      </c>
      <c r="G35" s="142">
        <f t="shared" si="9"/>
        <v>58</v>
      </c>
      <c r="H35" s="142">
        <f t="shared" si="9"/>
        <v>67</v>
      </c>
      <c r="I35" s="142">
        <f t="shared" si="9"/>
        <v>77</v>
      </c>
      <c r="J35" s="142">
        <f t="shared" si="9"/>
        <v>86</v>
      </c>
      <c r="K35" s="142">
        <f t="shared" si="9"/>
        <v>96</v>
      </c>
      <c r="L35" s="142">
        <f t="shared" si="9"/>
        <v>106</v>
      </c>
      <c r="M35" s="142">
        <f t="shared" si="9"/>
        <v>115</v>
      </c>
      <c r="N35" s="142">
        <f t="shared" si="9"/>
        <v>125</v>
      </c>
      <c r="O35" s="142">
        <f t="shared" si="9"/>
        <v>134</v>
      </c>
    </row>
    <row r="36" spans="2:15" ht="13.8">
      <c r="B36" s="145" t="s">
        <v>75</v>
      </c>
      <c r="C36" s="144" t="s">
        <v>76</v>
      </c>
      <c r="D36" s="143">
        <f t="shared" si="9"/>
        <v>26</v>
      </c>
      <c r="E36" s="142">
        <f t="shared" si="9"/>
        <v>35</v>
      </c>
      <c r="F36" s="142">
        <f t="shared" si="9"/>
        <v>44</v>
      </c>
      <c r="G36" s="142">
        <f t="shared" si="9"/>
        <v>53</v>
      </c>
      <c r="H36" s="142">
        <f t="shared" si="9"/>
        <v>62</v>
      </c>
      <c r="I36" s="142">
        <f t="shared" si="9"/>
        <v>70</v>
      </c>
      <c r="J36" s="142">
        <f t="shared" si="9"/>
        <v>79</v>
      </c>
      <c r="K36" s="142">
        <f t="shared" si="9"/>
        <v>88</v>
      </c>
      <c r="L36" s="142">
        <f t="shared" si="9"/>
        <v>97</v>
      </c>
      <c r="M36" s="142">
        <f t="shared" si="9"/>
        <v>106</v>
      </c>
      <c r="N36" s="142">
        <f t="shared" si="9"/>
        <v>114</v>
      </c>
      <c r="O36" s="142">
        <f t="shared" si="9"/>
        <v>123</v>
      </c>
    </row>
    <row r="37" spans="2:15" ht="13.8">
      <c r="B37" s="145" t="s">
        <v>77</v>
      </c>
      <c r="C37" s="144" t="s">
        <v>80</v>
      </c>
      <c r="D37" s="143">
        <f t="shared" si="9"/>
        <v>18</v>
      </c>
      <c r="E37" s="142">
        <f t="shared" si="9"/>
        <v>24</v>
      </c>
      <c r="F37" s="142">
        <f t="shared" si="9"/>
        <v>30</v>
      </c>
      <c r="G37" s="142">
        <f t="shared" si="9"/>
        <v>36</v>
      </c>
      <c r="H37" s="142">
        <f t="shared" si="9"/>
        <v>42</v>
      </c>
      <c r="I37" s="142">
        <f t="shared" si="9"/>
        <v>48</v>
      </c>
      <c r="J37" s="142">
        <f t="shared" si="9"/>
        <v>54</v>
      </c>
      <c r="K37" s="142">
        <f t="shared" si="9"/>
        <v>60</v>
      </c>
      <c r="L37" s="142">
        <f t="shared" si="9"/>
        <v>66</v>
      </c>
      <c r="M37" s="142">
        <f t="shared" si="9"/>
        <v>72</v>
      </c>
      <c r="N37" s="142">
        <f t="shared" si="9"/>
        <v>78</v>
      </c>
      <c r="O37" s="142">
        <f t="shared" si="9"/>
        <v>84</v>
      </c>
    </row>
    <row r="38" spans="2:15" ht="13.8">
      <c r="B38" s="145" t="s">
        <v>81</v>
      </c>
      <c r="C38" s="144" t="s">
        <v>85</v>
      </c>
      <c r="D38" s="143">
        <f t="shared" si="9"/>
        <v>16</v>
      </c>
      <c r="E38" s="142">
        <f t="shared" si="9"/>
        <v>21</v>
      </c>
      <c r="F38" s="142">
        <f t="shared" si="9"/>
        <v>26</v>
      </c>
      <c r="G38" s="142">
        <f t="shared" si="9"/>
        <v>31</v>
      </c>
      <c r="H38" s="142">
        <f t="shared" si="9"/>
        <v>36</v>
      </c>
      <c r="I38" s="142">
        <f t="shared" si="9"/>
        <v>42</v>
      </c>
      <c r="J38" s="142">
        <f t="shared" si="9"/>
        <v>47</v>
      </c>
      <c r="K38" s="142">
        <f t="shared" si="9"/>
        <v>52</v>
      </c>
      <c r="L38" s="142">
        <f t="shared" si="9"/>
        <v>57</v>
      </c>
      <c r="M38" s="142">
        <f t="shared" si="9"/>
        <v>62</v>
      </c>
      <c r="N38" s="142">
        <f t="shared" si="9"/>
        <v>68</v>
      </c>
      <c r="O38" s="142">
        <f t="shared" si="9"/>
        <v>73</v>
      </c>
    </row>
    <row r="39" spans="2:15" ht="13.8">
      <c r="B39" s="145" t="s">
        <v>86</v>
      </c>
      <c r="C39" s="144" t="s">
        <v>88</v>
      </c>
      <c r="D39" s="143">
        <f t="shared" si="9"/>
        <v>14</v>
      </c>
      <c r="E39" s="142">
        <f t="shared" si="9"/>
        <v>19</v>
      </c>
      <c r="F39" s="142">
        <f t="shared" si="9"/>
        <v>24</v>
      </c>
      <c r="G39" s="142">
        <f t="shared" si="9"/>
        <v>29</v>
      </c>
      <c r="H39" s="142">
        <f t="shared" si="9"/>
        <v>34</v>
      </c>
      <c r="I39" s="142">
        <f t="shared" si="9"/>
        <v>38</v>
      </c>
      <c r="J39" s="142">
        <f t="shared" si="9"/>
        <v>43</v>
      </c>
      <c r="K39" s="142">
        <f t="shared" si="9"/>
        <v>48</v>
      </c>
      <c r="L39" s="142">
        <f t="shared" si="9"/>
        <v>53</v>
      </c>
      <c r="M39" s="142">
        <f t="shared" si="9"/>
        <v>58</v>
      </c>
      <c r="N39" s="142">
        <f t="shared" si="9"/>
        <v>62</v>
      </c>
      <c r="O39" s="142">
        <f t="shared" si="9"/>
        <v>67</v>
      </c>
    </row>
    <row r="40" spans="2:15" ht="13.8">
      <c r="B40" s="145" t="s">
        <v>89</v>
      </c>
      <c r="C40" s="144" t="s">
        <v>92</v>
      </c>
      <c r="D40" s="143">
        <f t="shared" si="9"/>
        <v>11</v>
      </c>
      <c r="E40" s="142">
        <f t="shared" si="9"/>
        <v>14</v>
      </c>
      <c r="F40" s="142">
        <f t="shared" si="9"/>
        <v>18</v>
      </c>
      <c r="G40" s="142">
        <f t="shared" si="9"/>
        <v>22</v>
      </c>
      <c r="H40" s="142">
        <f t="shared" si="9"/>
        <v>25</v>
      </c>
      <c r="I40" s="142">
        <f t="shared" si="9"/>
        <v>29</v>
      </c>
      <c r="J40" s="142">
        <f t="shared" si="9"/>
        <v>32</v>
      </c>
      <c r="K40" s="142">
        <f t="shared" si="9"/>
        <v>36</v>
      </c>
      <c r="L40" s="142">
        <f t="shared" si="9"/>
        <v>40</v>
      </c>
      <c r="M40" s="142">
        <f t="shared" si="9"/>
        <v>43</v>
      </c>
      <c r="N40" s="142">
        <f t="shared" si="9"/>
        <v>47</v>
      </c>
      <c r="O40" s="142">
        <f t="shared" si="9"/>
        <v>50</v>
      </c>
    </row>
    <row r="41" spans="2:15" ht="13.8">
      <c r="B41" s="145" t="s">
        <v>403</v>
      </c>
      <c r="C41" s="144" t="s">
        <v>405</v>
      </c>
      <c r="D41" s="143">
        <f t="shared" si="9"/>
        <v>8</v>
      </c>
      <c r="E41" s="142">
        <f t="shared" si="9"/>
        <v>11</v>
      </c>
      <c r="F41" s="142">
        <f t="shared" si="9"/>
        <v>14</v>
      </c>
      <c r="G41" s="142">
        <f t="shared" si="9"/>
        <v>17</v>
      </c>
      <c r="H41" s="142">
        <f t="shared" si="9"/>
        <v>20</v>
      </c>
      <c r="I41" s="142">
        <f t="shared" si="9"/>
        <v>22</v>
      </c>
      <c r="J41" s="142">
        <f t="shared" si="9"/>
        <v>25</v>
      </c>
      <c r="K41" s="142">
        <f t="shared" si="9"/>
        <v>28</v>
      </c>
      <c r="L41" s="142">
        <f t="shared" si="9"/>
        <v>31</v>
      </c>
      <c r="M41" s="142">
        <f t="shared" si="9"/>
        <v>34</v>
      </c>
      <c r="N41" s="142">
        <f t="shared" si="9"/>
        <v>36</v>
      </c>
      <c r="O41" s="142">
        <f t="shared" si="9"/>
        <v>39</v>
      </c>
    </row>
    <row r="42" spans="2:15" ht="13.8">
      <c r="B42" s="145" t="s">
        <v>404</v>
      </c>
      <c r="C42" s="144" t="s">
        <v>402</v>
      </c>
      <c r="D42" s="143">
        <f t="shared" si="9"/>
        <v>4</v>
      </c>
      <c r="E42" s="142">
        <f t="shared" si="9"/>
        <v>5</v>
      </c>
      <c r="F42" s="142">
        <f t="shared" si="9"/>
        <v>6</v>
      </c>
      <c r="G42" s="142">
        <f t="shared" si="9"/>
        <v>7</v>
      </c>
      <c r="H42" s="142">
        <f t="shared" si="9"/>
        <v>8</v>
      </c>
      <c r="I42" s="142">
        <f t="shared" si="9"/>
        <v>10</v>
      </c>
      <c r="J42" s="142">
        <f t="shared" si="9"/>
        <v>11</v>
      </c>
      <c r="K42" s="142">
        <f t="shared" si="9"/>
        <v>12</v>
      </c>
      <c r="L42" s="142">
        <f t="shared" si="9"/>
        <v>13</v>
      </c>
      <c r="M42" s="142">
        <f t="shared" si="9"/>
        <v>14</v>
      </c>
      <c r="N42" s="142">
        <f t="shared" si="9"/>
        <v>16</v>
      </c>
      <c r="O42" s="142">
        <f t="shared" si="9"/>
        <v>17</v>
      </c>
    </row>
    <row r="43" spans="2:15">
      <c r="B43" s="141"/>
      <c r="C43" s="141"/>
      <c r="D43" s="113"/>
      <c r="E43" s="113"/>
      <c r="F43" s="113"/>
      <c r="G43" s="113"/>
      <c r="H43" s="113"/>
      <c r="I43" s="113"/>
      <c r="J43" s="113"/>
      <c r="K43" s="113"/>
      <c r="L43" s="113"/>
      <c r="M43" s="113"/>
      <c r="N43" s="113"/>
      <c r="O43" s="113"/>
    </row>
    <row r="44" spans="2:15" ht="15">
      <c r="B44" s="140" t="s">
        <v>118</v>
      </c>
      <c r="C44" s="139"/>
      <c r="D44" s="139"/>
      <c r="E44" s="139"/>
      <c r="F44" s="138" t="s">
        <v>102</v>
      </c>
      <c r="G44" s="134"/>
      <c r="H44" s="134"/>
      <c r="I44" s="137" t="s">
        <v>103</v>
      </c>
      <c r="J44" s="136"/>
      <c r="K44" s="136"/>
      <c r="L44" s="135" t="s">
        <v>104</v>
      </c>
      <c r="M44" s="134" t="s">
        <v>105</v>
      </c>
      <c r="N44" s="134" t="s">
        <v>106</v>
      </c>
      <c r="O44" s="133" t="s">
        <v>107</v>
      </c>
    </row>
    <row r="45" spans="2:15">
      <c r="B45" s="132" t="s">
        <v>101</v>
      </c>
      <c r="C45" s="113"/>
      <c r="D45" s="113"/>
      <c r="E45" s="113"/>
      <c r="F45" s="129" t="s">
        <v>98</v>
      </c>
      <c r="G45" s="128"/>
      <c r="H45" s="128"/>
      <c r="I45" s="127" t="str">
        <f>CONCATENATE(D47,"€ * 800 kWh = ", D47*800," €")</f>
        <v>0,06€ * 800 kWh = 48 €</v>
      </c>
      <c r="J45" s="131"/>
      <c r="K45" s="131"/>
      <c r="L45" s="126" t="str">
        <f>CONCATENATE(D47*800*2," €")</f>
        <v>96 €</v>
      </c>
      <c r="M45" s="125" t="str">
        <f>CONCATENATE(D47*800*3," €")</f>
        <v>144 €</v>
      </c>
      <c r="N45" s="125" t="str">
        <f>CONCATENATE(D47*800*4," €")</f>
        <v>192 €</v>
      </c>
      <c r="O45" s="124" t="str">
        <f>CONCATENATE(D47*800*5," €")</f>
        <v>240 €</v>
      </c>
    </row>
    <row r="46" spans="2:15">
      <c r="B46" s="130" t="str">
        <f>CONCATENATE(D47,"€ * 2400 kWh = ", D47*2400," €")</f>
        <v>0,06€ * 2400 kWh = 144 €</v>
      </c>
      <c r="C46" s="113"/>
      <c r="D46" s="113"/>
      <c r="E46" s="113"/>
      <c r="F46" s="129" t="s">
        <v>99</v>
      </c>
      <c r="G46" s="128"/>
      <c r="H46" s="128"/>
      <c r="I46" s="127" t="str">
        <f>CONCATENATE(D47,"€ * 1500 kWh = ", D47*1500," €")</f>
        <v>0,06€ * 1500 kWh = 90 €</v>
      </c>
      <c r="J46" s="92"/>
      <c r="K46" s="92"/>
      <c r="L46" s="126" t="str">
        <f>CONCATENATE(D47*1500*2," €")</f>
        <v>180 €</v>
      </c>
      <c r="M46" s="125" t="str">
        <f>CONCATENATE(D47*1500*3," €")</f>
        <v>270 €</v>
      </c>
      <c r="N46" s="125" t="str">
        <f>CONCATENATE(D47*1500*4," €")</f>
        <v>360 €</v>
      </c>
      <c r="O46" s="124" t="str">
        <f>CONCATENATE(D47*1500*5," €")</f>
        <v>450 €</v>
      </c>
    </row>
    <row r="47" spans="2:15">
      <c r="B47" s="108"/>
      <c r="C47" s="123" t="s">
        <v>200</v>
      </c>
      <c r="D47" s="122">
        <v>0.06</v>
      </c>
      <c r="E47" s="121" t="s">
        <v>201</v>
      </c>
      <c r="F47" s="120" t="s">
        <v>100</v>
      </c>
      <c r="G47" s="119"/>
      <c r="H47" s="119"/>
      <c r="I47" s="118" t="str">
        <f>CONCATENATE(D47,"€ * 1300 kWh = ", D47*1300," €")</f>
        <v>0,06€ * 1300 kWh = 78 €</v>
      </c>
      <c r="J47" s="117"/>
      <c r="K47" s="117"/>
      <c r="L47" s="116" t="str">
        <f>CONCATENATE(D47*1300*2," €")</f>
        <v>156 €</v>
      </c>
      <c r="M47" s="115" t="str">
        <f>CONCATENATE(D47*1300*3," €")</f>
        <v>234 €</v>
      </c>
      <c r="N47" s="115" t="str">
        <f>CONCATENATE(D47*1300*4," €")</f>
        <v>312 €</v>
      </c>
      <c r="O47" s="114" t="str">
        <f>CONCATENATE(D47*1300*5," €")</f>
        <v>390 €</v>
      </c>
    </row>
    <row r="49" spans="3:19" ht="26.25" customHeight="1">
      <c r="C49" s="113"/>
      <c r="D49" s="356" t="s">
        <v>97</v>
      </c>
      <c r="E49" s="357"/>
      <c r="F49" s="357"/>
      <c r="G49" s="357"/>
      <c r="H49" s="357"/>
      <c r="I49" s="357"/>
      <c r="J49" s="357"/>
      <c r="K49" s="357"/>
      <c r="L49" s="357"/>
      <c r="M49" s="357"/>
      <c r="N49" s="357"/>
      <c r="O49" s="357"/>
      <c r="P49" s="357"/>
      <c r="Q49" s="358"/>
    </row>
    <row r="50" spans="3:19" ht="13.5" customHeight="1">
      <c r="C50" s="112"/>
      <c r="D50" s="111"/>
      <c r="E50" s="111"/>
      <c r="F50" s="111"/>
      <c r="G50" s="111"/>
      <c r="H50" s="111"/>
      <c r="I50" s="111"/>
      <c r="J50" s="111"/>
      <c r="K50" s="110"/>
      <c r="L50" s="106"/>
      <c r="M50" s="352" t="s">
        <v>96</v>
      </c>
      <c r="N50" s="352"/>
      <c r="O50" s="352"/>
      <c r="P50" s="352"/>
      <c r="Q50" s="109"/>
    </row>
    <row r="51" spans="3:19" ht="13.5" customHeight="1">
      <c r="C51" s="108"/>
      <c r="D51" s="107"/>
      <c r="E51" s="107"/>
      <c r="F51" s="107"/>
      <c r="G51" s="107"/>
      <c r="H51" s="107"/>
      <c r="I51" s="107"/>
      <c r="J51" s="107"/>
      <c r="K51" s="106"/>
      <c r="L51" s="353" t="s">
        <v>95</v>
      </c>
      <c r="M51" s="354"/>
      <c r="N51" s="354"/>
      <c r="O51" s="355"/>
      <c r="P51" s="105"/>
      <c r="Q51" s="105"/>
    </row>
    <row r="52" spans="3:19" ht="23.7" customHeight="1">
      <c r="C52" s="165" t="s">
        <v>93</v>
      </c>
      <c r="D52" s="104">
        <v>1000</v>
      </c>
      <c r="E52" s="104">
        <v>1100</v>
      </c>
      <c r="F52" s="104">
        <v>1200</v>
      </c>
      <c r="G52" s="104">
        <v>1300</v>
      </c>
      <c r="H52" s="104">
        <v>1400</v>
      </c>
      <c r="I52" s="104">
        <v>1500</v>
      </c>
      <c r="J52" s="104">
        <v>1600</v>
      </c>
      <c r="K52" s="104">
        <v>1700</v>
      </c>
      <c r="L52" s="103">
        <v>1800</v>
      </c>
      <c r="M52" s="103">
        <v>1900</v>
      </c>
      <c r="N52" s="103">
        <v>2000</v>
      </c>
      <c r="O52" s="103">
        <v>2100</v>
      </c>
      <c r="P52" s="103">
        <v>2200</v>
      </c>
      <c r="Q52" s="103">
        <v>2300</v>
      </c>
      <c r="R52" s="165" t="str">
        <f>C52</f>
        <v>Heizleistung KW</v>
      </c>
    </row>
    <row r="53" spans="3:19">
      <c r="C53" s="101">
        <v>2</v>
      </c>
      <c r="D53" s="100" t="str">
        <f>CONCATENATE($C53,"*",D$52,"=",$C53*D$52)</f>
        <v>2*1000=2000</v>
      </c>
      <c r="E53" s="102">
        <f t="shared" ref="E53:P62" si="10">$C53*E$52</f>
        <v>2200</v>
      </c>
      <c r="F53" s="102">
        <f t="shared" si="10"/>
        <v>2400</v>
      </c>
      <c r="G53" s="102">
        <f t="shared" si="10"/>
        <v>2600</v>
      </c>
      <c r="H53" s="102">
        <f t="shared" si="10"/>
        <v>2800</v>
      </c>
      <c r="I53" s="102">
        <f t="shared" si="10"/>
        <v>3000</v>
      </c>
      <c r="J53" s="102">
        <f t="shared" si="10"/>
        <v>3200</v>
      </c>
      <c r="K53" s="102">
        <f t="shared" si="10"/>
        <v>3400</v>
      </c>
      <c r="L53" s="102">
        <f t="shared" si="10"/>
        <v>3600</v>
      </c>
      <c r="M53" s="102">
        <f t="shared" si="10"/>
        <v>3800</v>
      </c>
      <c r="N53" s="102">
        <f t="shared" si="10"/>
        <v>4000</v>
      </c>
      <c r="O53" s="102">
        <f t="shared" si="10"/>
        <v>4200</v>
      </c>
      <c r="P53" s="102">
        <f t="shared" si="10"/>
        <v>4400</v>
      </c>
      <c r="Q53" s="102">
        <f t="shared" ref="Q53:Q82" si="11">$C53*Q$52</f>
        <v>4600</v>
      </c>
      <c r="R53" s="164">
        <f>C53</f>
        <v>2</v>
      </c>
      <c r="S53" s="98">
        <f t="shared" ref="S53:S82" si="12">ROUND($S$83/C53,0)</f>
        <v>12500</v>
      </c>
    </row>
    <row r="54" spans="3:19">
      <c r="C54" s="101">
        <v>4</v>
      </c>
      <c r="D54" s="100">
        <f t="shared" ref="D54:D82" si="13">$C54*D$52</f>
        <v>4000</v>
      </c>
      <c r="E54" s="99">
        <f t="shared" si="10"/>
        <v>4400</v>
      </c>
      <c r="F54" s="99">
        <f t="shared" si="10"/>
        <v>4800</v>
      </c>
      <c r="G54" s="99">
        <f t="shared" si="10"/>
        <v>5200</v>
      </c>
      <c r="H54" s="99">
        <f t="shared" si="10"/>
        <v>5600</v>
      </c>
      <c r="I54" s="99">
        <f t="shared" si="10"/>
        <v>6000</v>
      </c>
      <c r="J54" s="99">
        <f t="shared" si="10"/>
        <v>6400</v>
      </c>
      <c r="K54" s="99">
        <f t="shared" si="10"/>
        <v>6800</v>
      </c>
      <c r="L54" s="99">
        <f t="shared" si="10"/>
        <v>7200</v>
      </c>
      <c r="M54" s="99">
        <f t="shared" si="10"/>
        <v>7600</v>
      </c>
      <c r="N54" s="99">
        <f t="shared" si="10"/>
        <v>8000</v>
      </c>
      <c r="O54" s="99">
        <f t="shared" si="10"/>
        <v>8400</v>
      </c>
      <c r="P54" s="99">
        <f t="shared" si="10"/>
        <v>8800</v>
      </c>
      <c r="Q54" s="99">
        <f t="shared" si="11"/>
        <v>9200</v>
      </c>
      <c r="R54" s="164">
        <f t="shared" ref="R54:R82" si="14">C54</f>
        <v>4</v>
      </c>
      <c r="S54" s="98">
        <f t="shared" si="12"/>
        <v>6250</v>
      </c>
    </row>
    <row r="55" spans="3:19">
      <c r="C55" s="101">
        <v>6</v>
      </c>
      <c r="D55" s="100">
        <f t="shared" si="13"/>
        <v>6000</v>
      </c>
      <c r="E55" s="99">
        <f t="shared" si="10"/>
        <v>6600</v>
      </c>
      <c r="F55" s="99">
        <f t="shared" si="10"/>
        <v>7200</v>
      </c>
      <c r="G55" s="99">
        <f t="shared" si="10"/>
        <v>7800</v>
      </c>
      <c r="H55" s="99">
        <f t="shared" si="10"/>
        <v>8400</v>
      </c>
      <c r="I55" s="99">
        <f t="shared" si="10"/>
        <v>9000</v>
      </c>
      <c r="J55" s="99">
        <f t="shared" si="10"/>
        <v>9600</v>
      </c>
      <c r="K55" s="99">
        <f t="shared" si="10"/>
        <v>10200</v>
      </c>
      <c r="L55" s="99">
        <f t="shared" si="10"/>
        <v>10800</v>
      </c>
      <c r="M55" s="99">
        <f t="shared" si="10"/>
        <v>11400</v>
      </c>
      <c r="N55" s="99">
        <f t="shared" si="10"/>
        <v>12000</v>
      </c>
      <c r="O55" s="99">
        <f t="shared" si="10"/>
        <v>12600</v>
      </c>
      <c r="P55" s="99">
        <f t="shared" si="10"/>
        <v>13200</v>
      </c>
      <c r="Q55" s="99">
        <f t="shared" si="11"/>
        <v>13800</v>
      </c>
      <c r="R55" s="164">
        <f t="shared" si="14"/>
        <v>6</v>
      </c>
      <c r="S55" s="98">
        <f t="shared" si="12"/>
        <v>4167</v>
      </c>
    </row>
    <row r="56" spans="3:19">
      <c r="C56" s="101">
        <v>8</v>
      </c>
      <c r="D56" s="100">
        <f t="shared" si="13"/>
        <v>8000</v>
      </c>
      <c r="E56" s="99">
        <f t="shared" si="10"/>
        <v>8800</v>
      </c>
      <c r="F56" s="99">
        <f t="shared" si="10"/>
        <v>9600</v>
      </c>
      <c r="G56" s="99">
        <f t="shared" si="10"/>
        <v>10400</v>
      </c>
      <c r="H56" s="99">
        <f t="shared" si="10"/>
        <v>11200</v>
      </c>
      <c r="I56" s="99">
        <f t="shared" si="10"/>
        <v>12000</v>
      </c>
      <c r="J56" s="99">
        <f t="shared" si="10"/>
        <v>12800</v>
      </c>
      <c r="K56" s="99">
        <f t="shared" si="10"/>
        <v>13600</v>
      </c>
      <c r="L56" s="99">
        <f t="shared" si="10"/>
        <v>14400</v>
      </c>
      <c r="M56" s="99">
        <f t="shared" si="10"/>
        <v>15200</v>
      </c>
      <c r="N56" s="99">
        <f t="shared" si="10"/>
        <v>16000</v>
      </c>
      <c r="O56" s="99">
        <f t="shared" si="10"/>
        <v>16800</v>
      </c>
      <c r="P56" s="99">
        <f t="shared" si="10"/>
        <v>17600</v>
      </c>
      <c r="Q56" s="99">
        <f t="shared" si="11"/>
        <v>18400</v>
      </c>
      <c r="R56" s="164">
        <f t="shared" si="14"/>
        <v>8</v>
      </c>
      <c r="S56" s="98">
        <f t="shared" si="12"/>
        <v>3125</v>
      </c>
    </row>
    <row r="57" spans="3:19">
      <c r="C57" s="101">
        <v>10</v>
      </c>
      <c r="D57" s="100">
        <f t="shared" si="13"/>
        <v>10000</v>
      </c>
      <c r="E57" s="99">
        <f t="shared" si="10"/>
        <v>11000</v>
      </c>
      <c r="F57" s="99">
        <f t="shared" si="10"/>
        <v>12000</v>
      </c>
      <c r="G57" s="99">
        <f t="shared" si="10"/>
        <v>13000</v>
      </c>
      <c r="H57" s="99">
        <f t="shared" si="10"/>
        <v>14000</v>
      </c>
      <c r="I57" s="99">
        <f t="shared" si="10"/>
        <v>15000</v>
      </c>
      <c r="J57" s="99">
        <f t="shared" si="10"/>
        <v>16000</v>
      </c>
      <c r="K57" s="99">
        <f t="shared" si="10"/>
        <v>17000</v>
      </c>
      <c r="L57" s="99">
        <f t="shared" si="10"/>
        <v>18000</v>
      </c>
      <c r="M57" s="99">
        <f t="shared" si="10"/>
        <v>19000</v>
      </c>
      <c r="N57" s="99">
        <f t="shared" si="10"/>
        <v>20000</v>
      </c>
      <c r="O57" s="99">
        <f t="shared" si="10"/>
        <v>21000</v>
      </c>
      <c r="P57" s="99">
        <f t="shared" si="10"/>
        <v>22000</v>
      </c>
      <c r="Q57" s="99">
        <f t="shared" si="11"/>
        <v>23000</v>
      </c>
      <c r="R57" s="164">
        <f t="shared" si="14"/>
        <v>10</v>
      </c>
      <c r="S57" s="98">
        <f t="shared" si="12"/>
        <v>2500</v>
      </c>
    </row>
    <row r="58" spans="3:19">
      <c r="C58" s="101">
        <v>12</v>
      </c>
      <c r="D58" s="100">
        <f t="shared" si="13"/>
        <v>12000</v>
      </c>
      <c r="E58" s="99">
        <f t="shared" si="10"/>
        <v>13200</v>
      </c>
      <c r="F58" s="99">
        <f t="shared" si="10"/>
        <v>14400</v>
      </c>
      <c r="G58" s="99">
        <f t="shared" si="10"/>
        <v>15600</v>
      </c>
      <c r="H58" s="99">
        <f t="shared" si="10"/>
        <v>16800</v>
      </c>
      <c r="I58" s="99">
        <f t="shared" si="10"/>
        <v>18000</v>
      </c>
      <c r="J58" s="99">
        <f t="shared" si="10"/>
        <v>19200</v>
      </c>
      <c r="K58" s="99">
        <f t="shared" si="10"/>
        <v>20400</v>
      </c>
      <c r="L58" s="99">
        <f t="shared" si="10"/>
        <v>21600</v>
      </c>
      <c r="M58" s="99">
        <f t="shared" si="10"/>
        <v>22800</v>
      </c>
      <c r="N58" s="99">
        <f t="shared" si="10"/>
        <v>24000</v>
      </c>
      <c r="O58" s="99">
        <f t="shared" si="10"/>
        <v>25200</v>
      </c>
      <c r="P58" s="99">
        <f t="shared" si="10"/>
        <v>26400</v>
      </c>
      <c r="Q58" s="99">
        <f t="shared" si="11"/>
        <v>27600</v>
      </c>
      <c r="R58" s="164">
        <f t="shared" si="14"/>
        <v>12</v>
      </c>
      <c r="S58" s="98">
        <f t="shared" si="12"/>
        <v>2083</v>
      </c>
    </row>
    <row r="59" spans="3:19">
      <c r="C59" s="101">
        <v>14</v>
      </c>
      <c r="D59" s="100">
        <f t="shared" si="13"/>
        <v>14000</v>
      </c>
      <c r="E59" s="99">
        <f t="shared" si="10"/>
        <v>15400</v>
      </c>
      <c r="F59" s="99">
        <f t="shared" si="10"/>
        <v>16800</v>
      </c>
      <c r="G59" s="99">
        <f t="shared" si="10"/>
        <v>18200</v>
      </c>
      <c r="H59" s="99">
        <f t="shared" si="10"/>
        <v>19600</v>
      </c>
      <c r="I59" s="99">
        <f t="shared" si="10"/>
        <v>21000</v>
      </c>
      <c r="J59" s="99">
        <f t="shared" si="10"/>
        <v>22400</v>
      </c>
      <c r="K59" s="99">
        <f t="shared" si="10"/>
        <v>23800</v>
      </c>
      <c r="L59" s="99">
        <f t="shared" si="10"/>
        <v>25200</v>
      </c>
      <c r="M59" s="99">
        <f t="shared" si="10"/>
        <v>26600</v>
      </c>
      <c r="N59" s="99">
        <f t="shared" si="10"/>
        <v>28000</v>
      </c>
      <c r="O59" s="99">
        <f t="shared" si="10"/>
        <v>29400</v>
      </c>
      <c r="P59" s="99">
        <f t="shared" si="10"/>
        <v>30800</v>
      </c>
      <c r="Q59" s="99">
        <f t="shared" si="11"/>
        <v>32200</v>
      </c>
      <c r="R59" s="164">
        <f t="shared" si="14"/>
        <v>14</v>
      </c>
      <c r="S59" s="98">
        <f t="shared" si="12"/>
        <v>1786</v>
      </c>
    </row>
    <row r="60" spans="3:19">
      <c r="C60" s="101">
        <v>16</v>
      </c>
      <c r="D60" s="100">
        <f t="shared" si="13"/>
        <v>16000</v>
      </c>
      <c r="E60" s="99">
        <f t="shared" si="10"/>
        <v>17600</v>
      </c>
      <c r="F60" s="99">
        <f t="shared" si="10"/>
        <v>19200</v>
      </c>
      <c r="G60" s="99">
        <f t="shared" si="10"/>
        <v>20800</v>
      </c>
      <c r="H60" s="99">
        <f t="shared" si="10"/>
        <v>22400</v>
      </c>
      <c r="I60" s="99">
        <f t="shared" si="10"/>
        <v>24000</v>
      </c>
      <c r="J60" s="99">
        <f t="shared" si="10"/>
        <v>25600</v>
      </c>
      <c r="K60" s="99">
        <f t="shared" si="10"/>
        <v>27200</v>
      </c>
      <c r="L60" s="99">
        <f t="shared" si="10"/>
        <v>28800</v>
      </c>
      <c r="M60" s="99">
        <f t="shared" si="10"/>
        <v>30400</v>
      </c>
      <c r="N60" s="99">
        <f t="shared" si="10"/>
        <v>32000</v>
      </c>
      <c r="O60" s="99">
        <f t="shared" si="10"/>
        <v>33600</v>
      </c>
      <c r="P60" s="99">
        <f t="shared" si="10"/>
        <v>35200</v>
      </c>
      <c r="Q60" s="99">
        <f t="shared" si="11"/>
        <v>36800</v>
      </c>
      <c r="R60" s="164">
        <f t="shared" si="14"/>
        <v>16</v>
      </c>
      <c r="S60" s="98">
        <f t="shared" si="12"/>
        <v>1563</v>
      </c>
    </row>
    <row r="61" spans="3:19">
      <c r="C61" s="101">
        <v>18</v>
      </c>
      <c r="D61" s="100">
        <f t="shared" si="13"/>
        <v>18000</v>
      </c>
      <c r="E61" s="99">
        <f t="shared" si="10"/>
        <v>19800</v>
      </c>
      <c r="F61" s="99">
        <f t="shared" si="10"/>
        <v>21600</v>
      </c>
      <c r="G61" s="99">
        <f t="shared" si="10"/>
        <v>23400</v>
      </c>
      <c r="H61" s="99">
        <f t="shared" si="10"/>
        <v>25200</v>
      </c>
      <c r="I61" s="99">
        <f t="shared" si="10"/>
        <v>27000</v>
      </c>
      <c r="J61" s="99">
        <f t="shared" si="10"/>
        <v>28800</v>
      </c>
      <c r="K61" s="99">
        <f t="shared" si="10"/>
        <v>30600</v>
      </c>
      <c r="L61" s="99">
        <f t="shared" si="10"/>
        <v>32400</v>
      </c>
      <c r="M61" s="99">
        <f t="shared" si="10"/>
        <v>34200</v>
      </c>
      <c r="N61" s="99">
        <f t="shared" si="10"/>
        <v>36000</v>
      </c>
      <c r="O61" s="99">
        <f t="shared" si="10"/>
        <v>37800</v>
      </c>
      <c r="P61" s="99">
        <f t="shared" si="10"/>
        <v>39600</v>
      </c>
      <c r="Q61" s="99">
        <f t="shared" si="11"/>
        <v>41400</v>
      </c>
      <c r="R61" s="164">
        <f t="shared" si="14"/>
        <v>18</v>
      </c>
      <c r="S61" s="98">
        <f t="shared" si="12"/>
        <v>1389</v>
      </c>
    </row>
    <row r="62" spans="3:19">
      <c r="C62" s="101">
        <v>20</v>
      </c>
      <c r="D62" s="100">
        <f t="shared" si="13"/>
        <v>20000</v>
      </c>
      <c r="E62" s="99">
        <f t="shared" si="10"/>
        <v>22000</v>
      </c>
      <c r="F62" s="99">
        <f t="shared" si="10"/>
        <v>24000</v>
      </c>
      <c r="G62" s="99">
        <f t="shared" si="10"/>
        <v>26000</v>
      </c>
      <c r="H62" s="99">
        <f t="shared" si="10"/>
        <v>28000</v>
      </c>
      <c r="I62" s="99">
        <f t="shared" si="10"/>
        <v>30000</v>
      </c>
      <c r="J62" s="99">
        <f t="shared" si="10"/>
        <v>32000</v>
      </c>
      <c r="K62" s="99">
        <f t="shared" si="10"/>
        <v>34000</v>
      </c>
      <c r="L62" s="99">
        <f t="shared" si="10"/>
        <v>36000</v>
      </c>
      <c r="M62" s="99">
        <f t="shared" si="10"/>
        <v>38000</v>
      </c>
      <c r="N62" s="99">
        <f t="shared" si="10"/>
        <v>40000</v>
      </c>
      <c r="O62" s="99">
        <f t="shared" si="10"/>
        <v>42000</v>
      </c>
      <c r="P62" s="99">
        <f t="shared" si="10"/>
        <v>44000</v>
      </c>
      <c r="Q62" s="99">
        <f t="shared" si="11"/>
        <v>46000</v>
      </c>
      <c r="R62" s="164">
        <f t="shared" si="14"/>
        <v>20</v>
      </c>
      <c r="S62" s="98">
        <f t="shared" si="12"/>
        <v>1250</v>
      </c>
    </row>
    <row r="63" spans="3:19">
      <c r="C63" s="101">
        <v>22</v>
      </c>
      <c r="D63" s="100">
        <f t="shared" si="13"/>
        <v>22000</v>
      </c>
      <c r="E63" s="99">
        <f t="shared" ref="E63:P72" si="15">$C63*E$52</f>
        <v>24200</v>
      </c>
      <c r="F63" s="99">
        <f t="shared" si="15"/>
        <v>26400</v>
      </c>
      <c r="G63" s="99">
        <f t="shared" si="15"/>
        <v>28600</v>
      </c>
      <c r="H63" s="99">
        <f t="shared" si="15"/>
        <v>30800</v>
      </c>
      <c r="I63" s="99">
        <f t="shared" si="15"/>
        <v>33000</v>
      </c>
      <c r="J63" s="99">
        <f t="shared" si="15"/>
        <v>35200</v>
      </c>
      <c r="K63" s="99">
        <f t="shared" si="15"/>
        <v>37400</v>
      </c>
      <c r="L63" s="99">
        <f t="shared" si="15"/>
        <v>39600</v>
      </c>
      <c r="M63" s="99">
        <f t="shared" si="15"/>
        <v>41800</v>
      </c>
      <c r="N63" s="99">
        <f t="shared" si="15"/>
        <v>44000</v>
      </c>
      <c r="O63" s="99">
        <f t="shared" si="15"/>
        <v>46200</v>
      </c>
      <c r="P63" s="99">
        <f t="shared" si="15"/>
        <v>48400</v>
      </c>
      <c r="Q63" s="99">
        <f t="shared" si="11"/>
        <v>50600</v>
      </c>
      <c r="R63" s="164">
        <f t="shared" si="14"/>
        <v>22</v>
      </c>
      <c r="S63" s="98">
        <f t="shared" si="12"/>
        <v>1136</v>
      </c>
    </row>
    <row r="64" spans="3:19">
      <c r="C64" s="101">
        <v>24</v>
      </c>
      <c r="D64" s="100">
        <f t="shared" si="13"/>
        <v>24000</v>
      </c>
      <c r="E64" s="99">
        <f t="shared" si="15"/>
        <v>26400</v>
      </c>
      <c r="F64" s="99">
        <f t="shared" si="15"/>
        <v>28800</v>
      </c>
      <c r="G64" s="99">
        <f t="shared" si="15"/>
        <v>31200</v>
      </c>
      <c r="H64" s="99">
        <f t="shared" si="15"/>
        <v>33600</v>
      </c>
      <c r="I64" s="99">
        <f t="shared" si="15"/>
        <v>36000</v>
      </c>
      <c r="J64" s="99">
        <f t="shared" si="15"/>
        <v>38400</v>
      </c>
      <c r="K64" s="99">
        <f t="shared" si="15"/>
        <v>40800</v>
      </c>
      <c r="L64" s="99">
        <f t="shared" si="15"/>
        <v>43200</v>
      </c>
      <c r="M64" s="99">
        <f t="shared" si="15"/>
        <v>45600</v>
      </c>
      <c r="N64" s="99">
        <f t="shared" si="15"/>
        <v>48000</v>
      </c>
      <c r="O64" s="99">
        <f t="shared" si="15"/>
        <v>50400</v>
      </c>
      <c r="P64" s="99">
        <f t="shared" si="15"/>
        <v>52800</v>
      </c>
      <c r="Q64" s="99">
        <f t="shared" si="11"/>
        <v>55200</v>
      </c>
      <c r="R64" s="164">
        <f t="shared" si="14"/>
        <v>24</v>
      </c>
      <c r="S64" s="98">
        <f t="shared" si="12"/>
        <v>1042</v>
      </c>
    </row>
    <row r="65" spans="3:19">
      <c r="C65" s="101">
        <v>26</v>
      </c>
      <c r="D65" s="100">
        <f t="shared" si="13"/>
        <v>26000</v>
      </c>
      <c r="E65" s="99">
        <f t="shared" si="15"/>
        <v>28600</v>
      </c>
      <c r="F65" s="99">
        <f t="shared" si="15"/>
        <v>31200</v>
      </c>
      <c r="G65" s="99">
        <f t="shared" si="15"/>
        <v>33800</v>
      </c>
      <c r="H65" s="99">
        <f t="shared" si="15"/>
        <v>36400</v>
      </c>
      <c r="I65" s="99">
        <f t="shared" si="15"/>
        <v>39000</v>
      </c>
      <c r="J65" s="99">
        <f t="shared" si="15"/>
        <v>41600</v>
      </c>
      <c r="K65" s="99">
        <f t="shared" si="15"/>
        <v>44200</v>
      </c>
      <c r="L65" s="99">
        <f t="shared" si="15"/>
        <v>46800</v>
      </c>
      <c r="M65" s="99">
        <f t="shared" si="15"/>
        <v>49400</v>
      </c>
      <c r="N65" s="99">
        <f t="shared" si="15"/>
        <v>52000</v>
      </c>
      <c r="O65" s="99">
        <f t="shared" si="15"/>
        <v>54600</v>
      </c>
      <c r="P65" s="99">
        <f t="shared" si="15"/>
        <v>57200</v>
      </c>
      <c r="Q65" s="99">
        <f t="shared" si="11"/>
        <v>59800</v>
      </c>
      <c r="R65" s="164">
        <f t="shared" si="14"/>
        <v>26</v>
      </c>
      <c r="S65" s="98">
        <f t="shared" si="12"/>
        <v>962</v>
      </c>
    </row>
    <row r="66" spans="3:19">
      <c r="C66" s="101">
        <v>28</v>
      </c>
      <c r="D66" s="100">
        <f t="shared" si="13"/>
        <v>28000</v>
      </c>
      <c r="E66" s="99">
        <f t="shared" si="15"/>
        <v>30800</v>
      </c>
      <c r="F66" s="99">
        <f t="shared" si="15"/>
        <v>33600</v>
      </c>
      <c r="G66" s="99">
        <f t="shared" si="15"/>
        <v>36400</v>
      </c>
      <c r="H66" s="99">
        <f t="shared" si="15"/>
        <v>39200</v>
      </c>
      <c r="I66" s="99">
        <f t="shared" si="15"/>
        <v>42000</v>
      </c>
      <c r="J66" s="99">
        <f t="shared" si="15"/>
        <v>44800</v>
      </c>
      <c r="K66" s="99">
        <f t="shared" si="15"/>
        <v>47600</v>
      </c>
      <c r="L66" s="99">
        <f t="shared" si="15"/>
        <v>50400</v>
      </c>
      <c r="M66" s="99">
        <f t="shared" si="15"/>
        <v>53200</v>
      </c>
      <c r="N66" s="99">
        <f t="shared" si="15"/>
        <v>56000</v>
      </c>
      <c r="O66" s="99">
        <f t="shared" si="15"/>
        <v>58800</v>
      </c>
      <c r="P66" s="99">
        <f t="shared" si="15"/>
        <v>61600</v>
      </c>
      <c r="Q66" s="99">
        <f t="shared" si="11"/>
        <v>64400</v>
      </c>
      <c r="R66" s="164">
        <f t="shared" si="14"/>
        <v>28</v>
      </c>
      <c r="S66" s="98">
        <f t="shared" si="12"/>
        <v>893</v>
      </c>
    </row>
    <row r="67" spans="3:19">
      <c r="C67" s="101">
        <v>30</v>
      </c>
      <c r="D67" s="100">
        <f t="shared" si="13"/>
        <v>30000</v>
      </c>
      <c r="E67" s="99">
        <f t="shared" si="15"/>
        <v>33000</v>
      </c>
      <c r="F67" s="99">
        <f t="shared" si="15"/>
        <v>36000</v>
      </c>
      <c r="G67" s="99">
        <f t="shared" si="15"/>
        <v>39000</v>
      </c>
      <c r="H67" s="99">
        <f t="shared" si="15"/>
        <v>42000</v>
      </c>
      <c r="I67" s="99">
        <f t="shared" si="15"/>
        <v>45000</v>
      </c>
      <c r="J67" s="99">
        <f t="shared" si="15"/>
        <v>48000</v>
      </c>
      <c r="K67" s="99">
        <f t="shared" si="15"/>
        <v>51000</v>
      </c>
      <c r="L67" s="99">
        <f t="shared" si="15"/>
        <v>54000</v>
      </c>
      <c r="M67" s="99">
        <f t="shared" si="15"/>
        <v>57000</v>
      </c>
      <c r="N67" s="99">
        <f t="shared" si="15"/>
        <v>60000</v>
      </c>
      <c r="O67" s="99">
        <f t="shared" si="15"/>
        <v>63000</v>
      </c>
      <c r="P67" s="99">
        <f t="shared" si="15"/>
        <v>66000</v>
      </c>
      <c r="Q67" s="99">
        <f t="shared" si="11"/>
        <v>69000</v>
      </c>
      <c r="R67" s="164">
        <f t="shared" si="14"/>
        <v>30</v>
      </c>
      <c r="S67" s="98">
        <f t="shared" si="12"/>
        <v>833</v>
      </c>
    </row>
    <row r="68" spans="3:19">
      <c r="C68" s="101">
        <v>32</v>
      </c>
      <c r="D68" s="100">
        <f t="shared" si="13"/>
        <v>32000</v>
      </c>
      <c r="E68" s="99">
        <f t="shared" si="15"/>
        <v>35200</v>
      </c>
      <c r="F68" s="99">
        <f t="shared" si="15"/>
        <v>38400</v>
      </c>
      <c r="G68" s="99">
        <f t="shared" si="15"/>
        <v>41600</v>
      </c>
      <c r="H68" s="99">
        <f t="shared" si="15"/>
        <v>44800</v>
      </c>
      <c r="I68" s="99">
        <f t="shared" si="15"/>
        <v>48000</v>
      </c>
      <c r="J68" s="99">
        <f t="shared" si="15"/>
        <v>51200</v>
      </c>
      <c r="K68" s="99">
        <f t="shared" si="15"/>
        <v>54400</v>
      </c>
      <c r="L68" s="99">
        <f t="shared" si="15"/>
        <v>57600</v>
      </c>
      <c r="M68" s="99">
        <f t="shared" si="15"/>
        <v>60800</v>
      </c>
      <c r="N68" s="99">
        <f t="shared" si="15"/>
        <v>64000</v>
      </c>
      <c r="O68" s="99">
        <f t="shared" si="15"/>
        <v>67200</v>
      </c>
      <c r="P68" s="99">
        <f t="shared" si="15"/>
        <v>70400</v>
      </c>
      <c r="Q68" s="99">
        <f t="shared" si="11"/>
        <v>73600</v>
      </c>
      <c r="R68" s="164">
        <f t="shared" si="14"/>
        <v>32</v>
      </c>
      <c r="S68" s="98">
        <f t="shared" si="12"/>
        <v>781</v>
      </c>
    </row>
    <row r="69" spans="3:19">
      <c r="C69" s="101">
        <v>34</v>
      </c>
      <c r="D69" s="100">
        <f t="shared" si="13"/>
        <v>34000</v>
      </c>
      <c r="E69" s="99">
        <f t="shared" si="15"/>
        <v>37400</v>
      </c>
      <c r="F69" s="99">
        <f t="shared" si="15"/>
        <v>40800</v>
      </c>
      <c r="G69" s="99">
        <f t="shared" si="15"/>
        <v>44200</v>
      </c>
      <c r="H69" s="99">
        <f t="shared" si="15"/>
        <v>47600</v>
      </c>
      <c r="I69" s="99">
        <f t="shared" si="15"/>
        <v>51000</v>
      </c>
      <c r="J69" s="99">
        <f t="shared" si="15"/>
        <v>54400</v>
      </c>
      <c r="K69" s="99">
        <f t="shared" si="15"/>
        <v>57800</v>
      </c>
      <c r="L69" s="99">
        <f t="shared" si="15"/>
        <v>61200</v>
      </c>
      <c r="M69" s="99">
        <f t="shared" si="15"/>
        <v>64600</v>
      </c>
      <c r="N69" s="99">
        <f t="shared" si="15"/>
        <v>68000</v>
      </c>
      <c r="O69" s="99">
        <f t="shared" si="15"/>
        <v>71400</v>
      </c>
      <c r="P69" s="99">
        <f t="shared" si="15"/>
        <v>74800</v>
      </c>
      <c r="Q69" s="99">
        <f t="shared" si="11"/>
        <v>78200</v>
      </c>
      <c r="R69" s="164">
        <f t="shared" si="14"/>
        <v>34</v>
      </c>
      <c r="S69" s="98">
        <f t="shared" si="12"/>
        <v>735</v>
      </c>
    </row>
    <row r="70" spans="3:19">
      <c r="C70" s="101">
        <v>36</v>
      </c>
      <c r="D70" s="100">
        <f t="shared" si="13"/>
        <v>36000</v>
      </c>
      <c r="E70" s="99">
        <f t="shared" si="15"/>
        <v>39600</v>
      </c>
      <c r="F70" s="99">
        <f t="shared" si="15"/>
        <v>43200</v>
      </c>
      <c r="G70" s="99">
        <f t="shared" si="15"/>
        <v>46800</v>
      </c>
      <c r="H70" s="99">
        <f t="shared" si="15"/>
        <v>50400</v>
      </c>
      <c r="I70" s="99">
        <f t="shared" si="15"/>
        <v>54000</v>
      </c>
      <c r="J70" s="99">
        <f t="shared" si="15"/>
        <v>57600</v>
      </c>
      <c r="K70" s="99">
        <f t="shared" si="15"/>
        <v>61200</v>
      </c>
      <c r="L70" s="99">
        <f t="shared" si="15"/>
        <v>64800</v>
      </c>
      <c r="M70" s="99">
        <f t="shared" si="15"/>
        <v>68400</v>
      </c>
      <c r="N70" s="99">
        <f t="shared" si="15"/>
        <v>72000</v>
      </c>
      <c r="O70" s="99">
        <f t="shared" si="15"/>
        <v>75600</v>
      </c>
      <c r="P70" s="99">
        <f t="shared" si="15"/>
        <v>79200</v>
      </c>
      <c r="Q70" s="99">
        <f t="shared" si="11"/>
        <v>82800</v>
      </c>
      <c r="R70" s="164">
        <f t="shared" si="14"/>
        <v>36</v>
      </c>
      <c r="S70" s="98">
        <f t="shared" si="12"/>
        <v>694</v>
      </c>
    </row>
    <row r="71" spans="3:19">
      <c r="C71" s="101">
        <v>38</v>
      </c>
      <c r="D71" s="100">
        <f t="shared" si="13"/>
        <v>38000</v>
      </c>
      <c r="E71" s="99">
        <f t="shared" si="15"/>
        <v>41800</v>
      </c>
      <c r="F71" s="99">
        <f t="shared" si="15"/>
        <v>45600</v>
      </c>
      <c r="G71" s="99">
        <f t="shared" si="15"/>
        <v>49400</v>
      </c>
      <c r="H71" s="99">
        <f t="shared" si="15"/>
        <v>53200</v>
      </c>
      <c r="I71" s="99">
        <f t="shared" si="15"/>
        <v>57000</v>
      </c>
      <c r="J71" s="99">
        <f t="shared" si="15"/>
        <v>60800</v>
      </c>
      <c r="K71" s="99">
        <f t="shared" si="15"/>
        <v>64600</v>
      </c>
      <c r="L71" s="99">
        <f t="shared" si="15"/>
        <v>68400</v>
      </c>
      <c r="M71" s="99">
        <f t="shared" si="15"/>
        <v>72200</v>
      </c>
      <c r="N71" s="99">
        <f t="shared" si="15"/>
        <v>76000</v>
      </c>
      <c r="O71" s="99">
        <f t="shared" si="15"/>
        <v>79800</v>
      </c>
      <c r="P71" s="99">
        <f t="shared" si="15"/>
        <v>83600</v>
      </c>
      <c r="Q71" s="99">
        <f t="shared" si="11"/>
        <v>87400</v>
      </c>
      <c r="R71" s="164">
        <f t="shared" si="14"/>
        <v>38</v>
      </c>
      <c r="S71" s="98">
        <f t="shared" si="12"/>
        <v>658</v>
      </c>
    </row>
    <row r="72" spans="3:19">
      <c r="C72" s="101">
        <v>40</v>
      </c>
      <c r="D72" s="100">
        <f t="shared" si="13"/>
        <v>40000</v>
      </c>
      <c r="E72" s="99">
        <f t="shared" si="15"/>
        <v>44000</v>
      </c>
      <c r="F72" s="99">
        <f t="shared" si="15"/>
        <v>48000</v>
      </c>
      <c r="G72" s="99">
        <f t="shared" si="15"/>
        <v>52000</v>
      </c>
      <c r="H72" s="99">
        <f t="shared" si="15"/>
        <v>56000</v>
      </c>
      <c r="I72" s="99">
        <f t="shared" si="15"/>
        <v>60000</v>
      </c>
      <c r="J72" s="99">
        <f t="shared" si="15"/>
        <v>64000</v>
      </c>
      <c r="K72" s="99">
        <f t="shared" si="15"/>
        <v>68000</v>
      </c>
      <c r="L72" s="99">
        <f t="shared" si="15"/>
        <v>72000</v>
      </c>
      <c r="M72" s="99">
        <f t="shared" si="15"/>
        <v>76000</v>
      </c>
      <c r="N72" s="99">
        <f t="shared" si="15"/>
        <v>80000</v>
      </c>
      <c r="O72" s="99">
        <f t="shared" si="15"/>
        <v>84000</v>
      </c>
      <c r="P72" s="99">
        <f t="shared" si="15"/>
        <v>88000</v>
      </c>
      <c r="Q72" s="99">
        <f t="shared" si="11"/>
        <v>92000</v>
      </c>
      <c r="R72" s="164">
        <f t="shared" si="14"/>
        <v>40</v>
      </c>
      <c r="S72" s="98">
        <f t="shared" si="12"/>
        <v>625</v>
      </c>
    </row>
    <row r="73" spans="3:19">
      <c r="C73" s="101">
        <v>50</v>
      </c>
      <c r="D73" s="100">
        <f t="shared" si="13"/>
        <v>50000</v>
      </c>
      <c r="E73" s="99">
        <f t="shared" ref="E73:P82" si="16">$C73*E$52</f>
        <v>55000</v>
      </c>
      <c r="F73" s="99">
        <f t="shared" si="16"/>
        <v>60000</v>
      </c>
      <c r="G73" s="99">
        <f t="shared" si="16"/>
        <v>65000</v>
      </c>
      <c r="H73" s="99">
        <f t="shared" si="16"/>
        <v>70000</v>
      </c>
      <c r="I73" s="99">
        <f t="shared" si="16"/>
        <v>75000</v>
      </c>
      <c r="J73" s="99">
        <f t="shared" si="16"/>
        <v>80000</v>
      </c>
      <c r="K73" s="99">
        <f t="shared" si="16"/>
        <v>85000</v>
      </c>
      <c r="L73" s="99">
        <f t="shared" si="16"/>
        <v>90000</v>
      </c>
      <c r="M73" s="99">
        <f t="shared" si="16"/>
        <v>95000</v>
      </c>
      <c r="N73" s="99">
        <f t="shared" si="16"/>
        <v>100000</v>
      </c>
      <c r="O73" s="99">
        <f t="shared" si="16"/>
        <v>105000</v>
      </c>
      <c r="P73" s="99">
        <f t="shared" si="16"/>
        <v>110000</v>
      </c>
      <c r="Q73" s="99">
        <f t="shared" si="11"/>
        <v>115000</v>
      </c>
      <c r="R73" s="164">
        <f t="shared" si="14"/>
        <v>50</v>
      </c>
      <c r="S73" s="98">
        <f t="shared" si="12"/>
        <v>500</v>
      </c>
    </row>
    <row r="74" spans="3:19">
      <c r="C74" s="101">
        <v>75</v>
      </c>
      <c r="D74" s="100">
        <f t="shared" si="13"/>
        <v>75000</v>
      </c>
      <c r="E74" s="99">
        <f t="shared" si="16"/>
        <v>82500</v>
      </c>
      <c r="F74" s="99">
        <f t="shared" si="16"/>
        <v>90000</v>
      </c>
      <c r="G74" s="99">
        <f t="shared" si="16"/>
        <v>97500</v>
      </c>
      <c r="H74" s="99">
        <f t="shared" si="16"/>
        <v>105000</v>
      </c>
      <c r="I74" s="99">
        <f t="shared" si="16"/>
        <v>112500</v>
      </c>
      <c r="J74" s="99">
        <f t="shared" si="16"/>
        <v>120000</v>
      </c>
      <c r="K74" s="99">
        <f t="shared" si="16"/>
        <v>127500</v>
      </c>
      <c r="L74" s="99">
        <f t="shared" si="16"/>
        <v>135000</v>
      </c>
      <c r="M74" s="99">
        <f t="shared" si="16"/>
        <v>142500</v>
      </c>
      <c r="N74" s="99">
        <f t="shared" si="16"/>
        <v>150000</v>
      </c>
      <c r="O74" s="99">
        <f t="shared" si="16"/>
        <v>157500</v>
      </c>
      <c r="P74" s="99">
        <f t="shared" si="16"/>
        <v>165000</v>
      </c>
      <c r="Q74" s="99">
        <f t="shared" si="11"/>
        <v>172500</v>
      </c>
      <c r="R74" s="164">
        <f t="shared" si="14"/>
        <v>75</v>
      </c>
      <c r="S74" s="98">
        <f t="shared" si="12"/>
        <v>333</v>
      </c>
    </row>
    <row r="75" spans="3:19">
      <c r="C75" s="101">
        <v>100</v>
      </c>
      <c r="D75" s="100">
        <f t="shared" si="13"/>
        <v>100000</v>
      </c>
      <c r="E75" s="99">
        <f t="shared" si="16"/>
        <v>110000</v>
      </c>
      <c r="F75" s="99">
        <f t="shared" si="16"/>
        <v>120000</v>
      </c>
      <c r="G75" s="99">
        <f t="shared" si="16"/>
        <v>130000</v>
      </c>
      <c r="H75" s="99">
        <f t="shared" si="16"/>
        <v>140000</v>
      </c>
      <c r="I75" s="99">
        <f t="shared" si="16"/>
        <v>150000</v>
      </c>
      <c r="J75" s="99">
        <f t="shared" si="16"/>
        <v>160000</v>
      </c>
      <c r="K75" s="99">
        <f t="shared" si="16"/>
        <v>170000</v>
      </c>
      <c r="L75" s="99">
        <f t="shared" si="16"/>
        <v>180000</v>
      </c>
      <c r="M75" s="99">
        <f t="shared" si="16"/>
        <v>190000</v>
      </c>
      <c r="N75" s="99">
        <f t="shared" si="16"/>
        <v>200000</v>
      </c>
      <c r="O75" s="99">
        <f t="shared" si="16"/>
        <v>210000</v>
      </c>
      <c r="P75" s="99">
        <f t="shared" si="16"/>
        <v>220000</v>
      </c>
      <c r="Q75" s="99">
        <f t="shared" si="11"/>
        <v>230000</v>
      </c>
      <c r="R75" s="164">
        <f t="shared" si="14"/>
        <v>100</v>
      </c>
      <c r="S75" s="98">
        <f t="shared" si="12"/>
        <v>250</v>
      </c>
    </row>
    <row r="76" spans="3:19">
      <c r="C76" s="101">
        <v>125</v>
      </c>
      <c r="D76" s="100">
        <f t="shared" si="13"/>
        <v>125000</v>
      </c>
      <c r="E76" s="99">
        <f t="shared" si="16"/>
        <v>137500</v>
      </c>
      <c r="F76" s="99">
        <f t="shared" si="16"/>
        <v>150000</v>
      </c>
      <c r="G76" s="99">
        <f t="shared" si="16"/>
        <v>162500</v>
      </c>
      <c r="H76" s="99">
        <f t="shared" si="16"/>
        <v>175000</v>
      </c>
      <c r="I76" s="99">
        <f t="shared" si="16"/>
        <v>187500</v>
      </c>
      <c r="J76" s="99">
        <f t="shared" si="16"/>
        <v>200000</v>
      </c>
      <c r="K76" s="99">
        <f t="shared" si="16"/>
        <v>212500</v>
      </c>
      <c r="L76" s="99">
        <f t="shared" si="16"/>
        <v>225000</v>
      </c>
      <c r="M76" s="99">
        <f t="shared" si="16"/>
        <v>237500</v>
      </c>
      <c r="N76" s="99">
        <f t="shared" si="16"/>
        <v>250000</v>
      </c>
      <c r="O76" s="99">
        <f t="shared" si="16"/>
        <v>262500</v>
      </c>
      <c r="P76" s="99">
        <f t="shared" si="16"/>
        <v>275000</v>
      </c>
      <c r="Q76" s="99">
        <f t="shared" si="11"/>
        <v>287500</v>
      </c>
      <c r="R76" s="164">
        <f t="shared" si="14"/>
        <v>125</v>
      </c>
      <c r="S76" s="98">
        <f t="shared" si="12"/>
        <v>200</v>
      </c>
    </row>
    <row r="77" spans="3:19">
      <c r="C77" s="101">
        <v>150</v>
      </c>
      <c r="D77" s="100">
        <f t="shared" si="13"/>
        <v>150000</v>
      </c>
      <c r="E77" s="99">
        <f t="shared" si="16"/>
        <v>165000</v>
      </c>
      <c r="F77" s="99">
        <f t="shared" si="16"/>
        <v>180000</v>
      </c>
      <c r="G77" s="99">
        <f t="shared" si="16"/>
        <v>195000</v>
      </c>
      <c r="H77" s="99">
        <f t="shared" si="16"/>
        <v>210000</v>
      </c>
      <c r="I77" s="99">
        <f t="shared" si="16"/>
        <v>225000</v>
      </c>
      <c r="J77" s="99">
        <f t="shared" si="16"/>
        <v>240000</v>
      </c>
      <c r="K77" s="99">
        <f t="shared" si="16"/>
        <v>255000</v>
      </c>
      <c r="L77" s="99">
        <f t="shared" si="16"/>
        <v>270000</v>
      </c>
      <c r="M77" s="99">
        <f t="shared" si="16"/>
        <v>285000</v>
      </c>
      <c r="N77" s="99">
        <f t="shared" si="16"/>
        <v>300000</v>
      </c>
      <c r="O77" s="99">
        <f t="shared" si="16"/>
        <v>315000</v>
      </c>
      <c r="P77" s="99">
        <f t="shared" si="16"/>
        <v>330000</v>
      </c>
      <c r="Q77" s="99">
        <f t="shared" si="11"/>
        <v>345000</v>
      </c>
      <c r="R77" s="164">
        <f t="shared" si="14"/>
        <v>150</v>
      </c>
      <c r="S77" s="98">
        <f t="shared" si="12"/>
        <v>167</v>
      </c>
    </row>
    <row r="78" spans="3:19">
      <c r="C78" s="101">
        <v>200</v>
      </c>
      <c r="D78" s="100">
        <f t="shared" si="13"/>
        <v>200000</v>
      </c>
      <c r="E78" s="99">
        <f t="shared" si="16"/>
        <v>220000</v>
      </c>
      <c r="F78" s="99">
        <f t="shared" si="16"/>
        <v>240000</v>
      </c>
      <c r="G78" s="99">
        <f t="shared" si="16"/>
        <v>260000</v>
      </c>
      <c r="H78" s="99">
        <f t="shared" si="16"/>
        <v>280000</v>
      </c>
      <c r="I78" s="99">
        <f t="shared" si="16"/>
        <v>300000</v>
      </c>
      <c r="J78" s="99">
        <f t="shared" si="16"/>
        <v>320000</v>
      </c>
      <c r="K78" s="99">
        <f t="shared" si="16"/>
        <v>340000</v>
      </c>
      <c r="L78" s="99">
        <f t="shared" si="16"/>
        <v>360000</v>
      </c>
      <c r="M78" s="99">
        <f t="shared" si="16"/>
        <v>380000</v>
      </c>
      <c r="N78" s="99">
        <f t="shared" si="16"/>
        <v>400000</v>
      </c>
      <c r="O78" s="99">
        <f t="shared" si="16"/>
        <v>420000</v>
      </c>
      <c r="P78" s="99">
        <f t="shared" si="16"/>
        <v>440000</v>
      </c>
      <c r="Q78" s="99">
        <f t="shared" si="11"/>
        <v>460000</v>
      </c>
      <c r="R78" s="164">
        <f t="shared" si="14"/>
        <v>200</v>
      </c>
      <c r="S78" s="98">
        <f t="shared" si="12"/>
        <v>125</v>
      </c>
    </row>
    <row r="79" spans="3:19">
      <c r="C79" s="101">
        <v>400</v>
      </c>
      <c r="D79" s="100">
        <f t="shared" si="13"/>
        <v>400000</v>
      </c>
      <c r="E79" s="99">
        <f t="shared" si="16"/>
        <v>440000</v>
      </c>
      <c r="F79" s="99">
        <f t="shared" si="16"/>
        <v>480000</v>
      </c>
      <c r="G79" s="99">
        <f t="shared" si="16"/>
        <v>520000</v>
      </c>
      <c r="H79" s="99">
        <f t="shared" si="16"/>
        <v>560000</v>
      </c>
      <c r="I79" s="99">
        <f t="shared" si="16"/>
        <v>600000</v>
      </c>
      <c r="J79" s="99">
        <f t="shared" si="16"/>
        <v>640000</v>
      </c>
      <c r="K79" s="99">
        <f t="shared" si="16"/>
        <v>680000</v>
      </c>
      <c r="L79" s="99">
        <f t="shared" si="16"/>
        <v>720000</v>
      </c>
      <c r="M79" s="99">
        <f t="shared" si="16"/>
        <v>760000</v>
      </c>
      <c r="N79" s="99">
        <f t="shared" si="16"/>
        <v>800000</v>
      </c>
      <c r="O79" s="99">
        <f t="shared" si="16"/>
        <v>840000</v>
      </c>
      <c r="P79" s="99">
        <f t="shared" si="16"/>
        <v>880000</v>
      </c>
      <c r="Q79" s="99">
        <f t="shared" si="11"/>
        <v>920000</v>
      </c>
      <c r="R79" s="164">
        <f t="shared" si="14"/>
        <v>400</v>
      </c>
      <c r="S79" s="98">
        <f t="shared" si="12"/>
        <v>63</v>
      </c>
    </row>
    <row r="80" spans="3:19">
      <c r="C80" s="101">
        <v>600</v>
      </c>
      <c r="D80" s="100">
        <f t="shared" si="13"/>
        <v>600000</v>
      </c>
      <c r="E80" s="99">
        <f t="shared" si="16"/>
        <v>660000</v>
      </c>
      <c r="F80" s="99">
        <f t="shared" si="16"/>
        <v>720000</v>
      </c>
      <c r="G80" s="99">
        <f t="shared" si="16"/>
        <v>780000</v>
      </c>
      <c r="H80" s="99">
        <f t="shared" si="16"/>
        <v>840000</v>
      </c>
      <c r="I80" s="99">
        <f t="shared" si="16"/>
        <v>900000</v>
      </c>
      <c r="J80" s="99">
        <f t="shared" si="16"/>
        <v>960000</v>
      </c>
      <c r="K80" s="99">
        <f t="shared" si="16"/>
        <v>1020000</v>
      </c>
      <c r="L80" s="99">
        <f t="shared" si="16"/>
        <v>1080000</v>
      </c>
      <c r="M80" s="99">
        <f t="shared" si="16"/>
        <v>1140000</v>
      </c>
      <c r="N80" s="99">
        <f t="shared" si="16"/>
        <v>1200000</v>
      </c>
      <c r="O80" s="99">
        <f t="shared" si="16"/>
        <v>1260000</v>
      </c>
      <c r="P80" s="99">
        <f t="shared" si="16"/>
        <v>1320000</v>
      </c>
      <c r="Q80" s="99">
        <f t="shared" si="11"/>
        <v>1380000</v>
      </c>
      <c r="R80" s="164">
        <f t="shared" si="14"/>
        <v>600</v>
      </c>
      <c r="S80" s="98">
        <f t="shared" si="12"/>
        <v>42</v>
      </c>
    </row>
    <row r="81" spans="3:20">
      <c r="C81" s="101">
        <v>800</v>
      </c>
      <c r="D81" s="100">
        <f t="shared" si="13"/>
        <v>800000</v>
      </c>
      <c r="E81" s="99">
        <f t="shared" si="16"/>
        <v>880000</v>
      </c>
      <c r="F81" s="99">
        <f t="shared" si="16"/>
        <v>960000</v>
      </c>
      <c r="G81" s="99">
        <f t="shared" si="16"/>
        <v>1040000</v>
      </c>
      <c r="H81" s="99">
        <f t="shared" si="16"/>
        <v>1120000</v>
      </c>
      <c r="I81" s="99">
        <f t="shared" si="16"/>
        <v>1200000</v>
      </c>
      <c r="J81" s="99">
        <f t="shared" si="16"/>
        <v>1280000</v>
      </c>
      <c r="K81" s="99">
        <f t="shared" si="16"/>
        <v>1360000</v>
      </c>
      <c r="L81" s="99">
        <f t="shared" si="16"/>
        <v>1440000</v>
      </c>
      <c r="M81" s="99">
        <f t="shared" si="16"/>
        <v>1520000</v>
      </c>
      <c r="N81" s="99">
        <f t="shared" si="16"/>
        <v>1600000</v>
      </c>
      <c r="O81" s="99">
        <f t="shared" si="16"/>
        <v>1680000</v>
      </c>
      <c r="P81" s="99">
        <f t="shared" si="16"/>
        <v>1760000</v>
      </c>
      <c r="Q81" s="99">
        <f t="shared" si="11"/>
        <v>1840000</v>
      </c>
      <c r="R81" s="164">
        <f t="shared" si="14"/>
        <v>800</v>
      </c>
      <c r="S81" s="98">
        <f t="shared" si="12"/>
        <v>31</v>
      </c>
    </row>
    <row r="82" spans="3:20">
      <c r="C82" s="101">
        <v>1000</v>
      </c>
      <c r="D82" s="100">
        <f t="shared" si="13"/>
        <v>1000000</v>
      </c>
      <c r="E82" s="99">
        <f t="shared" si="16"/>
        <v>1100000</v>
      </c>
      <c r="F82" s="99">
        <f t="shared" si="16"/>
        <v>1200000</v>
      </c>
      <c r="G82" s="99">
        <f t="shared" si="16"/>
        <v>1300000</v>
      </c>
      <c r="H82" s="99">
        <f t="shared" si="16"/>
        <v>1400000</v>
      </c>
      <c r="I82" s="99">
        <f t="shared" si="16"/>
        <v>1500000</v>
      </c>
      <c r="J82" s="99">
        <f t="shared" si="16"/>
        <v>1600000</v>
      </c>
      <c r="K82" s="99">
        <f t="shared" si="16"/>
        <v>1700000</v>
      </c>
      <c r="L82" s="99">
        <f t="shared" si="16"/>
        <v>1800000</v>
      </c>
      <c r="M82" s="99">
        <f t="shared" si="16"/>
        <v>1900000</v>
      </c>
      <c r="N82" s="99">
        <f t="shared" si="16"/>
        <v>2000000</v>
      </c>
      <c r="O82" s="99">
        <f t="shared" si="16"/>
        <v>2100000</v>
      </c>
      <c r="P82" s="99">
        <f t="shared" si="16"/>
        <v>2200000</v>
      </c>
      <c r="Q82" s="99">
        <f t="shared" si="11"/>
        <v>2300000</v>
      </c>
      <c r="R82" s="164">
        <f t="shared" si="14"/>
        <v>1000</v>
      </c>
      <c r="S82" s="98">
        <f t="shared" si="12"/>
        <v>25</v>
      </c>
    </row>
    <row r="83" spans="3:20" ht="14.25" customHeight="1">
      <c r="C83" s="97"/>
      <c r="D83" s="97"/>
      <c r="E83" s="97"/>
      <c r="F83" s="97"/>
      <c r="G83" s="97"/>
      <c r="H83" s="97"/>
      <c r="I83" s="97"/>
      <c r="J83" s="97"/>
      <c r="K83" s="97"/>
      <c r="L83" s="97"/>
      <c r="M83" s="97"/>
      <c r="N83" s="97"/>
      <c r="O83" s="97"/>
      <c r="P83" s="97"/>
      <c r="Q83" s="97"/>
      <c r="S83" s="96">
        <v>25000</v>
      </c>
      <c r="T83" s="90" t="s">
        <v>401</v>
      </c>
    </row>
    <row r="85" spans="3:20" ht="15" customHeight="1">
      <c r="C85" s="89" t="s">
        <v>108</v>
      </c>
      <c r="I85" s="343" t="s">
        <v>119</v>
      </c>
      <c r="J85" s="343"/>
      <c r="K85" s="343"/>
      <c r="L85" s="359" t="s">
        <v>128</v>
      </c>
      <c r="M85" s="359"/>
    </row>
    <row r="86" spans="3:20">
      <c r="C86" s="95" t="s">
        <v>109</v>
      </c>
      <c r="D86" s="94">
        <v>20</v>
      </c>
      <c r="E86" s="89" t="s">
        <v>110</v>
      </c>
      <c r="F86" s="90" t="s">
        <v>114</v>
      </c>
      <c r="I86" s="344"/>
      <c r="J86" s="344"/>
      <c r="K86" s="344"/>
      <c r="L86" s="360"/>
      <c r="M86" s="360"/>
    </row>
    <row r="87" spans="3:20">
      <c r="C87" s="95" t="s">
        <v>112</v>
      </c>
      <c r="D87" s="94">
        <v>1100</v>
      </c>
      <c r="E87" s="89" t="s">
        <v>111</v>
      </c>
      <c r="F87" s="90" t="s">
        <v>115</v>
      </c>
      <c r="I87" s="91" t="s">
        <v>120</v>
      </c>
      <c r="J87" s="91"/>
      <c r="K87" s="91"/>
      <c r="L87" s="92"/>
      <c r="M87" s="91" t="s">
        <v>121</v>
      </c>
    </row>
    <row r="88" spans="3:20">
      <c r="C88" s="95" t="s">
        <v>113</v>
      </c>
      <c r="D88" s="94">
        <v>2100</v>
      </c>
      <c r="E88" s="89" t="s">
        <v>111</v>
      </c>
      <c r="F88" s="90" t="s">
        <v>116</v>
      </c>
      <c r="I88" s="91" t="s">
        <v>122</v>
      </c>
      <c r="J88" s="91"/>
      <c r="K88" s="91"/>
      <c r="L88" s="92"/>
      <c r="M88" s="91" t="s">
        <v>123</v>
      </c>
    </row>
    <row r="89" spans="3:20" ht="14.4">
      <c r="C89" s="93" t="s">
        <v>117</v>
      </c>
      <c r="I89" s="91" t="s">
        <v>124</v>
      </c>
      <c r="J89" s="91"/>
      <c r="K89" s="91"/>
      <c r="L89" s="92"/>
      <c r="M89" s="91" t="s">
        <v>125</v>
      </c>
    </row>
    <row r="90" spans="3:20" ht="14.4">
      <c r="C90" s="90" t="str">
        <f>CONCATENATE("fDim  =",C88," / ",C87)</f>
        <v>fDim  = Betriebsstunden annahme /  Betriebsstunden gemessen</v>
      </c>
      <c r="I90" s="91" t="s">
        <v>126</v>
      </c>
      <c r="J90" s="91"/>
      <c r="K90" s="91"/>
      <c r="L90" s="92"/>
      <c r="M90" s="91" t="s">
        <v>127</v>
      </c>
    </row>
    <row r="91" spans="3:20">
      <c r="C91" s="90" t="str">
        <f>CONCATENATE("fDim  =",D87," h/ a / ",D88," h/ a =",ROUND(D87/D88,2))</f>
        <v>fDim  =1100 h/ a / 2100 h/ a =0,52</v>
      </c>
    </row>
    <row r="93" spans="3:20">
      <c r="C93" s="90" t="str">
        <f>CONCATENATE("Ptot = ",C86," / fDim = kW")</f>
        <v>Ptot = Nennleistung / fDim = kW</v>
      </c>
    </row>
    <row r="94" spans="3:20">
      <c r="C94" s="90" t="str">
        <f>CONCATENATE("Ptot = ",D86," / ",ROUND(D87/D88,2)," = ",ROUND(D86/(D87/D88),1)," kW")</f>
        <v>Ptot = 20 / 0,52 = 38,2 kW</v>
      </c>
    </row>
    <row r="95" spans="3:20">
      <c r="C95" s="90"/>
    </row>
    <row r="96" spans="3:20">
      <c r="C96" s="341" t="s">
        <v>400</v>
      </c>
      <c r="D96" s="341"/>
      <c r="E96" s="341"/>
      <c r="F96" s="341"/>
      <c r="G96" s="341"/>
      <c r="H96" s="341"/>
      <c r="I96" s="341"/>
      <c r="J96" s="341"/>
      <c r="K96" s="341"/>
      <c r="L96" s="341"/>
      <c r="M96" s="341"/>
    </row>
    <row r="97" spans="2:20" ht="93.6" customHeight="1">
      <c r="C97" s="342" t="s">
        <v>216</v>
      </c>
      <c r="D97" s="342"/>
      <c r="E97" s="342"/>
      <c r="F97" s="342"/>
      <c r="G97" s="342"/>
      <c r="H97" s="342"/>
      <c r="I97" s="342"/>
      <c r="J97" s="342"/>
      <c r="K97" s="342"/>
      <c r="L97" s="342"/>
      <c r="M97" s="342"/>
    </row>
    <row r="98" spans="2:20" ht="200.25" customHeight="1">
      <c r="C98" s="342" t="s">
        <v>237</v>
      </c>
      <c r="D98" s="342"/>
      <c r="E98" s="342"/>
      <c r="F98" s="342"/>
      <c r="G98" s="342"/>
      <c r="H98" s="342"/>
      <c r="I98" s="342"/>
      <c r="J98" s="342"/>
      <c r="K98" s="342"/>
      <c r="L98" s="342"/>
      <c r="M98" s="342"/>
    </row>
    <row r="102" spans="2:20">
      <c r="B102" s="202" t="s">
        <v>471</v>
      </c>
      <c r="D102" s="148"/>
      <c r="E102" s="148"/>
      <c r="F102" s="148"/>
      <c r="G102" s="148"/>
      <c r="H102" s="148"/>
      <c r="I102" s="148"/>
      <c r="K102" s="191" t="s">
        <v>428</v>
      </c>
    </row>
    <row r="103" spans="2:20" ht="12.6" thickBot="1">
      <c r="B103" s="202"/>
      <c r="D103" s="148"/>
      <c r="E103" s="148"/>
      <c r="F103" s="148"/>
      <c r="G103" s="148"/>
      <c r="H103" s="148"/>
      <c r="I103" s="148"/>
      <c r="K103" s="197"/>
    </row>
    <row r="104" spans="2:20">
      <c r="B104" s="207" t="s">
        <v>525</v>
      </c>
      <c r="G104" s="94">
        <v>20000</v>
      </c>
      <c r="H104" s="253">
        <v>9</v>
      </c>
      <c r="I104" s="254"/>
      <c r="K104" s="242" t="s">
        <v>558</v>
      </c>
      <c r="L104" s="243" t="s">
        <v>559</v>
      </c>
      <c r="M104" s="361" t="s">
        <v>560</v>
      </c>
      <c r="N104" s="362"/>
      <c r="O104" s="361" t="s">
        <v>559</v>
      </c>
      <c r="P104" s="362"/>
      <c r="Q104" s="361" t="s">
        <v>561</v>
      </c>
      <c r="R104" s="362"/>
      <c r="S104" s="244" t="s">
        <v>561</v>
      </c>
    </row>
    <row r="105" spans="2:20" ht="14.4">
      <c r="B105" s="191" t="s">
        <v>150</v>
      </c>
      <c r="G105" s="204" t="s">
        <v>512</v>
      </c>
      <c r="H105" s="253"/>
      <c r="I105" s="254"/>
      <c r="K105" s="245">
        <v>43983</v>
      </c>
      <c r="L105" s="236">
        <v>30</v>
      </c>
      <c r="M105" s="363">
        <v>45.506624463993049</v>
      </c>
      <c r="N105" s="364"/>
      <c r="O105" s="363">
        <v>5.8179619886021587</v>
      </c>
      <c r="P105" s="364"/>
      <c r="Q105" s="365">
        <v>17.762003884871817</v>
      </c>
      <c r="R105" s="366"/>
      <c r="S105" s="246">
        <v>13.178253389564237</v>
      </c>
      <c r="T105" s="241"/>
    </row>
    <row r="106" spans="2:20">
      <c r="B106" t="s">
        <v>271</v>
      </c>
      <c r="D106" s="148"/>
      <c r="E106" s="148"/>
      <c r="F106" s="148"/>
      <c r="G106" s="94">
        <v>150</v>
      </c>
      <c r="H106" s="254"/>
      <c r="I106" s="254"/>
      <c r="K106" s="245">
        <v>44013</v>
      </c>
      <c r="L106" s="236">
        <v>31</v>
      </c>
      <c r="M106" s="347">
        <v>63.620205319479403</v>
      </c>
      <c r="N106" s="348"/>
      <c r="O106" s="347">
        <v>8.7086090811177002</v>
      </c>
      <c r="P106" s="348"/>
      <c r="Q106" s="345">
        <v>16.352839998771362</v>
      </c>
      <c r="R106" s="346"/>
      <c r="S106" s="247">
        <v>13.694561814994902</v>
      </c>
      <c r="T106" s="241"/>
    </row>
    <row r="107" spans="2:20">
      <c r="B107" t="s">
        <v>530</v>
      </c>
      <c r="D107" s="148"/>
      <c r="E107" s="148"/>
      <c r="F107" s="148"/>
      <c r="G107" s="94">
        <v>2</v>
      </c>
      <c r="H107" s="254"/>
      <c r="I107" s="254"/>
      <c r="K107" s="245">
        <v>44044</v>
      </c>
      <c r="L107" s="236">
        <v>31</v>
      </c>
      <c r="M107" s="347">
        <v>3.3912622256290255</v>
      </c>
      <c r="N107" s="348"/>
      <c r="O107" s="347">
        <v>0.50885702323995274</v>
      </c>
      <c r="P107" s="348"/>
      <c r="Q107" s="345">
        <v>20.320282068648279</v>
      </c>
      <c r="R107" s="346"/>
      <c r="S107" s="247">
        <v>14.335530275210788</v>
      </c>
      <c r="T107" s="241"/>
    </row>
    <row r="108" spans="2:20">
      <c r="B108" t="s">
        <v>535</v>
      </c>
      <c r="D108" s="148"/>
      <c r="E108" s="148"/>
      <c r="F108" s="148"/>
      <c r="G108" s="226">
        <v>30</v>
      </c>
      <c r="H108" s="254" t="s">
        <v>563</v>
      </c>
      <c r="I108" s="254"/>
      <c r="K108" s="245">
        <v>44075</v>
      </c>
      <c r="L108" s="236">
        <v>30</v>
      </c>
      <c r="M108" s="347">
        <v>141.18934064308584</v>
      </c>
      <c r="N108" s="348"/>
      <c r="O108" s="347">
        <v>18.143541289833003</v>
      </c>
      <c r="P108" s="348"/>
      <c r="Q108" s="345">
        <v>14.683874466368708</v>
      </c>
      <c r="R108" s="346"/>
      <c r="S108" s="247">
        <v>13.218203801139785</v>
      </c>
      <c r="T108" s="241"/>
    </row>
    <row r="109" spans="2:20">
      <c r="B109" t="s">
        <v>501</v>
      </c>
      <c r="C109" s="202"/>
      <c r="D109" s="148"/>
      <c r="E109" s="148"/>
      <c r="G109" s="252">
        <f>M118</f>
        <v>3804.2795875574293</v>
      </c>
      <c r="H109" s="367" t="s">
        <v>564</v>
      </c>
      <c r="I109" s="367"/>
      <c r="J109" s="368"/>
      <c r="K109" s="245">
        <v>44105</v>
      </c>
      <c r="L109" s="236">
        <v>31</v>
      </c>
      <c r="M109" s="347">
        <v>298.70968796609418</v>
      </c>
      <c r="N109" s="348"/>
      <c r="O109" s="347">
        <v>29.618209930724412</v>
      </c>
      <c r="P109" s="348"/>
      <c r="Q109" s="345">
        <v>11.121929502235142</v>
      </c>
      <c r="R109" s="346"/>
      <c r="S109" s="247">
        <v>10.914660991843803</v>
      </c>
      <c r="T109" s="241"/>
    </row>
    <row r="110" spans="2:20">
      <c r="B110" t="s">
        <v>500</v>
      </c>
      <c r="C110" s="202"/>
      <c r="D110" s="148"/>
      <c r="E110" s="148"/>
      <c r="G110" s="94">
        <v>15</v>
      </c>
      <c r="H110" s="367"/>
      <c r="I110" s="367"/>
      <c r="J110" s="368"/>
      <c r="K110" s="245">
        <v>44136</v>
      </c>
      <c r="L110" s="236">
        <v>30</v>
      </c>
      <c r="M110" s="347">
        <v>396.66404443518093</v>
      </c>
      <c r="N110" s="348"/>
      <c r="O110" s="347">
        <v>29</v>
      </c>
      <c r="P110" s="348"/>
      <c r="Q110" s="345">
        <v>7.6219295022351412</v>
      </c>
      <c r="R110" s="346"/>
      <c r="S110" s="247">
        <v>7.3219295022351414</v>
      </c>
      <c r="T110" s="241"/>
    </row>
    <row r="111" spans="2:20">
      <c r="B111" t="s">
        <v>504</v>
      </c>
      <c r="C111" s="202"/>
      <c r="D111" s="148"/>
      <c r="E111" s="148"/>
      <c r="G111" s="94">
        <v>6.9</v>
      </c>
      <c r="H111" s="367"/>
      <c r="I111" s="367"/>
      <c r="J111" s="368"/>
      <c r="K111" s="245">
        <v>44166</v>
      </c>
      <c r="L111" s="236">
        <v>31</v>
      </c>
      <c r="M111" s="347">
        <v>521.98172267186862</v>
      </c>
      <c r="N111" s="348"/>
      <c r="O111" s="347">
        <v>31</v>
      </c>
      <c r="P111" s="348"/>
      <c r="Q111" s="345">
        <v>4.161879913810691</v>
      </c>
      <c r="R111" s="346"/>
      <c r="S111" s="247">
        <v>4.161879913810691</v>
      </c>
      <c r="T111" s="241"/>
    </row>
    <row r="112" spans="2:20">
      <c r="H112" s="254"/>
      <c r="I112" s="254"/>
      <c r="K112" s="245">
        <v>44197</v>
      </c>
      <c r="L112" s="236">
        <v>31</v>
      </c>
      <c r="M112" s="347">
        <v>595.42349727924579</v>
      </c>
      <c r="N112" s="348"/>
      <c r="O112" s="347">
        <v>31</v>
      </c>
      <c r="P112" s="348"/>
      <c r="Q112" s="345">
        <v>1.7927904103469114</v>
      </c>
      <c r="R112" s="346"/>
      <c r="S112" s="247">
        <v>1.7927904103469114</v>
      </c>
      <c r="T112" s="241"/>
    </row>
    <row r="113" spans="2:20">
      <c r="B113" t="s">
        <v>499</v>
      </c>
      <c r="C113" s="202"/>
      <c r="D113" s="148"/>
      <c r="E113" s="148"/>
      <c r="G113" s="94">
        <v>-16</v>
      </c>
      <c r="H113" s="254" t="s">
        <v>565</v>
      </c>
      <c r="I113" s="255" t="s">
        <v>562</v>
      </c>
      <c r="K113" s="245"/>
      <c r="L113" s="236"/>
      <c r="M113" s="237"/>
      <c r="N113" s="238"/>
      <c r="O113" s="237"/>
      <c r="P113" s="238"/>
      <c r="Q113" s="239"/>
      <c r="R113" s="240"/>
      <c r="S113" s="247"/>
      <c r="T113" s="241"/>
    </row>
    <row r="114" spans="2:20" ht="14.4">
      <c r="B114" t="s">
        <v>536</v>
      </c>
      <c r="C114" s="202"/>
      <c r="D114" s="148"/>
      <c r="E114" s="148"/>
      <c r="F114" s="148"/>
      <c r="G114" s="204" t="s">
        <v>486</v>
      </c>
      <c r="H114" s="253"/>
      <c r="I114" s="253"/>
      <c r="K114" s="245">
        <v>44228</v>
      </c>
      <c r="L114" s="236">
        <v>28</v>
      </c>
      <c r="M114" s="347">
        <v>521.11725683586576</v>
      </c>
      <c r="N114" s="348"/>
      <c r="O114" s="347">
        <v>27.508857023239955</v>
      </c>
      <c r="P114" s="348"/>
      <c r="Q114" s="345">
        <v>2.3019542964473669</v>
      </c>
      <c r="R114" s="346"/>
      <c r="S114" s="247">
        <v>2.056382808067343</v>
      </c>
      <c r="T114" s="241"/>
    </row>
    <row r="115" spans="2:20" ht="14.4">
      <c r="B115" t="s">
        <v>538</v>
      </c>
      <c r="G115" s="204" t="s">
        <v>488</v>
      </c>
      <c r="H115" s="253"/>
      <c r="I115" s="253"/>
      <c r="K115" s="245">
        <v>44256</v>
      </c>
      <c r="L115" s="236">
        <v>31</v>
      </c>
      <c r="M115" s="347">
        <v>479.76527188662288</v>
      </c>
      <c r="N115" s="348"/>
      <c r="O115" s="347">
        <v>31</v>
      </c>
      <c r="P115" s="348"/>
      <c r="Q115" s="345">
        <v>5.5237009068831311</v>
      </c>
      <c r="R115" s="346"/>
      <c r="S115" s="247">
        <v>5.5237009068831311</v>
      </c>
      <c r="T115" s="241"/>
    </row>
    <row r="116" spans="2:20">
      <c r="B116" t="s">
        <v>550</v>
      </c>
      <c r="G116" s="89" cm="1">
        <f t="array" ref="G116">INDEX(N193:Q197,MATCH(G114&amp;G115,N193:N197&amp;O193:O197,0),4)</f>
        <v>0.6</v>
      </c>
      <c r="H116" s="253"/>
      <c r="I116" s="253"/>
      <c r="K116" s="245">
        <v>44287</v>
      </c>
      <c r="L116" s="236">
        <v>30</v>
      </c>
      <c r="M116" s="347">
        <v>435.81554386322591</v>
      </c>
      <c r="N116" s="348"/>
      <c r="O116" s="347">
        <v>30</v>
      </c>
      <c r="P116" s="348"/>
      <c r="Q116" s="345">
        <v>6.4728152045591365</v>
      </c>
      <c r="R116" s="346"/>
      <c r="S116" s="247">
        <v>6.4728152045591365</v>
      </c>
      <c r="T116" s="241"/>
    </row>
    <row r="117" spans="2:20">
      <c r="B117" t="s">
        <v>551</v>
      </c>
      <c r="G117" s="225">
        <f>G116</f>
        <v>0.6</v>
      </c>
      <c r="H117" s="253"/>
      <c r="I117" s="253"/>
      <c r="K117" s="245">
        <v>44317</v>
      </c>
      <c r="L117" s="236">
        <v>31</v>
      </c>
      <c r="M117" s="374">
        <v>301.09512996713806</v>
      </c>
      <c r="N117" s="375"/>
      <c r="O117" s="374">
        <v>27.508857023239955</v>
      </c>
      <c r="P117" s="375"/>
      <c r="Q117" s="376">
        <v>10.932864792983587</v>
      </c>
      <c r="R117" s="377"/>
      <c r="S117" s="248">
        <v>10.054611403419353</v>
      </c>
      <c r="T117" s="241"/>
    </row>
    <row r="118" spans="2:20" ht="14.7" thickBot="1">
      <c r="B118" s="206" t="s">
        <v>505</v>
      </c>
      <c r="G118" s="204" t="s">
        <v>479</v>
      </c>
      <c r="H118" s="253"/>
      <c r="I118" s="253"/>
      <c r="K118" s="249"/>
      <c r="L118" s="250">
        <v>365</v>
      </c>
      <c r="M118" s="369">
        <v>3804.2795875574293</v>
      </c>
      <c r="N118" s="370"/>
      <c r="O118" s="369">
        <v>269.81489335999714</v>
      </c>
      <c r="P118" s="370"/>
      <c r="Q118" s="371">
        <v>9.9207387456801062</v>
      </c>
      <c r="R118" s="372"/>
      <c r="S118" s="251">
        <v>6.9004092020909411</v>
      </c>
      <c r="T118" s="241"/>
    </row>
    <row r="119" spans="2:20" ht="14.4">
      <c r="B119" s="206" t="s">
        <v>506</v>
      </c>
      <c r="G119" s="204" t="s">
        <v>475</v>
      </c>
      <c r="H119" s="253"/>
      <c r="I119" s="253"/>
    </row>
    <row r="120" spans="2:20">
      <c r="B120" s="207" t="s">
        <v>528</v>
      </c>
      <c r="G120" s="113">
        <f t="array" ref="G120">INDEX(P166:R174,MATCH(G119&amp;G118,P166:P174&amp;Q166:Q174,0),3)</f>
        <v>0.78</v>
      </c>
      <c r="H120" s="253"/>
      <c r="I120" s="253"/>
    </row>
    <row r="121" spans="2:20">
      <c r="B121" s="191" t="s">
        <v>526</v>
      </c>
      <c r="G121" s="51" t="str">
        <f>VLOOKUP(G105,P179:Q188,2,FALSE)</f>
        <v>1,11</v>
      </c>
      <c r="H121" s="253">
        <v>8</v>
      </c>
      <c r="I121" s="253"/>
    </row>
    <row r="122" spans="2:20">
      <c r="B122" t="s">
        <v>527</v>
      </c>
      <c r="G122" s="89">
        <f>ROUND(G120/G121,3)</f>
        <v>0.70299999999999996</v>
      </c>
      <c r="H122" s="253"/>
      <c r="I122" s="253"/>
    </row>
    <row r="123" spans="2:20">
      <c r="B123" s="207" t="s">
        <v>529</v>
      </c>
      <c r="G123" s="216">
        <f>G104/G122</f>
        <v>28449.50213371266</v>
      </c>
      <c r="H123" s="253">
        <v>5</v>
      </c>
      <c r="I123" s="253"/>
    </row>
    <row r="124" spans="2:20" ht="12.3" customHeight="1">
      <c r="B124" t="s">
        <v>545</v>
      </c>
      <c r="G124" s="224">
        <f>(16000*G106)/1000</f>
        <v>2400</v>
      </c>
      <c r="H124" s="373" t="str">
        <f>CONCATENATE("Hinweis nach GEG/ENEV wären es ca 12,5 kW je m², also ca. ",G106*12.5," kWh")</f>
        <v>Hinweis nach GEG/ENEV wären es ca 12,5 kW je m², also ca. 1875 kWh</v>
      </c>
      <c r="I124" s="373"/>
      <c r="J124" s="373"/>
    </row>
    <row r="125" spans="2:20">
      <c r="B125" t="s">
        <v>546</v>
      </c>
      <c r="G125" s="224">
        <f>IF(G117&gt;0,(14900*G107*G108*G117)/1000,(14900*G107*G108*G116)/1000)</f>
        <v>536.4</v>
      </c>
      <c r="H125" s="373"/>
      <c r="I125" s="373"/>
      <c r="J125" s="373"/>
    </row>
    <row r="126" spans="2:20">
      <c r="B126" t="s">
        <v>547</v>
      </c>
      <c r="G126" s="224">
        <f>MIN(G124:G125)</f>
        <v>536.4</v>
      </c>
      <c r="H126" s="89">
        <f>MAX(G124:G125)</f>
        <v>2400</v>
      </c>
    </row>
    <row r="127" spans="2:20">
      <c r="B127" t="s">
        <v>543</v>
      </c>
      <c r="G127" s="224">
        <f>ROUND((G109*24)/(G110-G113),0)</f>
        <v>2945</v>
      </c>
    </row>
    <row r="128" spans="2:20">
      <c r="B128" t="s">
        <v>542</v>
      </c>
      <c r="G128" s="224">
        <f>ROUND(G130*G131,0)</f>
        <v>2286</v>
      </c>
    </row>
    <row r="129" spans="2:10">
      <c r="B129" t="s">
        <v>544</v>
      </c>
      <c r="G129" s="224">
        <f>MIN(G127:G128)</f>
        <v>2286</v>
      </c>
      <c r="H129" s="89">
        <f>MAX(G127:G128)</f>
        <v>2945</v>
      </c>
      <c r="I129" s="89">
        <f>H129</f>
        <v>2945</v>
      </c>
    </row>
    <row r="130" spans="2:10">
      <c r="B130" t="s">
        <v>502</v>
      </c>
      <c r="G130" s="224">
        <v>8760</v>
      </c>
    </row>
    <row r="131" spans="2:10">
      <c r="B131" t="s">
        <v>503</v>
      </c>
      <c r="G131" s="224">
        <f>ROUND((G110-G111)/(G110-G113),3)</f>
        <v>0.26100000000000001</v>
      </c>
    </row>
    <row r="132" spans="2:10">
      <c r="B132"/>
      <c r="G132" s="224"/>
    </row>
    <row r="133" spans="2:10">
      <c r="G133" s="227" t="s">
        <v>557</v>
      </c>
      <c r="H133" s="228"/>
      <c r="I133" s="227" t="s">
        <v>555</v>
      </c>
      <c r="J133" s="228"/>
    </row>
    <row r="134" spans="2:10">
      <c r="B134"/>
      <c r="G134" s="234" t="s">
        <v>549</v>
      </c>
      <c r="H134" s="235" t="s">
        <v>548</v>
      </c>
      <c r="I134" s="130" t="s">
        <v>556</v>
      </c>
      <c r="J134" s="229" t="s">
        <v>548</v>
      </c>
    </row>
    <row r="135" spans="2:10">
      <c r="B135" t="s">
        <v>552</v>
      </c>
      <c r="G135" s="230">
        <f>(G123-G126)/G129</f>
        <v>12.210455876514724</v>
      </c>
      <c r="H135" s="231">
        <f>(G123-H126)/MAX(G127:G128)</f>
        <v>8.845331794129935</v>
      </c>
      <c r="I135" s="230">
        <f>(G123-0)/MIN(G127:G128)</f>
        <v>12.445101545806063</v>
      </c>
      <c r="J135" s="231">
        <f>(G123-0)/MAX(G127:G128)</f>
        <v>9.6602723713795111</v>
      </c>
    </row>
    <row r="136" spans="2:10">
      <c r="B136" t="s">
        <v>553</v>
      </c>
      <c r="G136" s="232">
        <f>(G135/G106)*1000</f>
        <v>81.403039176764821</v>
      </c>
      <c r="H136" s="233">
        <f>(H135/G106)*1000</f>
        <v>58.968878627532902</v>
      </c>
      <c r="I136" s="232">
        <f>(I135/G106)*1000</f>
        <v>82.967343638707092</v>
      </c>
      <c r="J136" s="233">
        <f>(J135/G106)*1000</f>
        <v>64.401815809196734</v>
      </c>
    </row>
    <row r="137" spans="2:10">
      <c r="J137" s="95" t="s">
        <v>554</v>
      </c>
    </row>
    <row r="144" spans="2:10">
      <c r="D144" s="158"/>
      <c r="E144" s="148"/>
      <c r="F144" s="148"/>
      <c r="G144" s="148"/>
      <c r="H144" s="148"/>
      <c r="I144" s="148"/>
    </row>
    <row r="145" spans="1:9">
      <c r="D145" s="158"/>
      <c r="E145" s="148"/>
      <c r="F145" s="148"/>
      <c r="G145" s="148"/>
      <c r="H145" s="148"/>
      <c r="I145" s="148"/>
    </row>
    <row r="146" spans="1:9">
      <c r="D146" s="158"/>
      <c r="E146" s="148"/>
      <c r="F146" s="148"/>
      <c r="G146" s="148"/>
      <c r="H146" s="148"/>
      <c r="I146" s="148"/>
    </row>
    <row r="147" spans="1:9">
      <c r="D147" s="158"/>
      <c r="E147" s="148"/>
      <c r="F147" s="148"/>
      <c r="G147" s="148"/>
      <c r="H147" s="148"/>
      <c r="I147" s="148"/>
    </row>
    <row r="148" spans="1:9">
      <c r="D148" s="158"/>
      <c r="E148" s="148"/>
      <c r="F148" s="148"/>
      <c r="G148" s="148"/>
      <c r="H148" s="148"/>
      <c r="I148" s="148"/>
    </row>
    <row r="149" spans="1:9">
      <c r="C149"/>
      <c r="D149" s="158"/>
      <c r="E149" s="148"/>
      <c r="F149" s="148"/>
      <c r="G149" s="148"/>
      <c r="H149" s="148"/>
      <c r="I149" s="148"/>
    </row>
    <row r="150" spans="1:9">
      <c r="C150"/>
      <c r="D150" s="158"/>
      <c r="E150" s="148"/>
      <c r="F150" s="148"/>
      <c r="G150" s="148"/>
      <c r="H150" s="148"/>
      <c r="I150" s="148"/>
    </row>
    <row r="151" spans="1:9">
      <c r="C151"/>
      <c r="D151" s="158"/>
      <c r="E151" s="148"/>
      <c r="F151" s="148"/>
      <c r="G151" s="148"/>
      <c r="H151" s="148"/>
      <c r="I151" s="148"/>
    </row>
    <row r="152" spans="1:9">
      <c r="D152" s="158"/>
      <c r="E152" s="148"/>
      <c r="F152" s="148"/>
      <c r="G152" s="148"/>
      <c r="H152" s="148"/>
      <c r="I152" s="148"/>
    </row>
    <row r="153" spans="1:9">
      <c r="D153" s="158"/>
      <c r="E153" s="148"/>
      <c r="F153" s="148"/>
      <c r="G153" s="148"/>
    </row>
    <row r="154" spans="1:9">
      <c r="A154" s="148"/>
      <c r="B154" s="148"/>
      <c r="C154" s="148"/>
      <c r="D154" s="148"/>
      <c r="E154" s="148"/>
      <c r="F154" s="148"/>
      <c r="G154" s="148"/>
    </row>
    <row r="155" spans="1:9" ht="14.4" customHeight="1">
      <c r="D155" s="158"/>
      <c r="E155" s="148"/>
      <c r="F155" s="148"/>
      <c r="G155" s="148"/>
    </row>
    <row r="156" spans="1:9" ht="14.4" customHeight="1">
      <c r="D156" s="158"/>
      <c r="E156" s="148"/>
      <c r="F156" s="148"/>
      <c r="G156" s="148"/>
    </row>
    <row r="157" spans="1:9" ht="14.4" customHeight="1">
      <c r="D157" s="158"/>
      <c r="E157" s="148"/>
      <c r="F157" s="148"/>
      <c r="G157" s="148"/>
    </row>
    <row r="158" spans="1:9" ht="14.4" customHeight="1">
      <c r="B158" s="158"/>
      <c r="C158" s="158"/>
      <c r="D158" s="158"/>
      <c r="E158" s="148"/>
      <c r="F158" s="148"/>
      <c r="G158" s="148"/>
    </row>
    <row r="159" spans="1:9" ht="14.4" customHeight="1">
      <c r="D159" s="158"/>
      <c r="E159" s="148"/>
      <c r="F159" s="148"/>
      <c r="G159" s="148"/>
    </row>
    <row r="160" spans="1:9" ht="14.4" customHeight="1">
      <c r="D160" s="158"/>
      <c r="E160" s="148"/>
      <c r="F160" s="148"/>
      <c r="G160" s="148"/>
    </row>
    <row r="161" spans="3:18" ht="14.4" customHeight="1">
      <c r="D161" s="158"/>
      <c r="E161" s="148"/>
      <c r="F161" s="148"/>
      <c r="G161" s="148"/>
    </row>
    <row r="162" spans="3:18" ht="14.4" customHeight="1">
      <c r="D162" s="158"/>
      <c r="E162" s="148"/>
      <c r="F162" s="148"/>
      <c r="G162" s="148"/>
    </row>
    <row r="163" spans="3:18" ht="14.4" customHeight="1">
      <c r="D163" s="158"/>
      <c r="E163" s="148"/>
      <c r="F163" s="148"/>
      <c r="G163" s="148"/>
      <c r="P163" t="s">
        <v>472</v>
      </c>
    </row>
    <row r="164" spans="3:18" ht="12.3" customHeight="1">
      <c r="D164" s="208"/>
      <c r="E164" s="148"/>
      <c r="F164" s="148"/>
      <c r="G164" s="148"/>
      <c r="Q164" s="334" t="s">
        <v>473</v>
      </c>
      <c r="R164" s="205" t="s">
        <v>474</v>
      </c>
    </row>
    <row r="165" spans="3:18">
      <c r="D165" s="207"/>
      <c r="E165" s="207"/>
      <c r="F165" s="207"/>
      <c r="Q165" s="335"/>
      <c r="R165" s="209" t="s">
        <v>475</v>
      </c>
    </row>
    <row r="166" spans="3:18">
      <c r="D166" s="207"/>
      <c r="E166" s="207"/>
      <c r="F166" s="207"/>
      <c r="P166" s="209" t="s">
        <v>475</v>
      </c>
      <c r="Q166" s="210" t="s">
        <v>89</v>
      </c>
      <c r="R166" s="209">
        <v>0.92</v>
      </c>
    </row>
    <row r="167" spans="3:18">
      <c r="D167" s="207"/>
      <c r="E167" s="207"/>
      <c r="F167" s="207"/>
      <c r="P167" s="209" t="s">
        <v>475</v>
      </c>
      <c r="Q167" s="210" t="s">
        <v>478</v>
      </c>
      <c r="R167" s="209">
        <v>0.87</v>
      </c>
    </row>
    <row r="168" spans="3:18">
      <c r="D168" s="207"/>
      <c r="E168" s="207"/>
      <c r="F168" s="207"/>
      <c r="P168" s="209" t="s">
        <v>475</v>
      </c>
      <c r="Q168" s="211" t="s">
        <v>479</v>
      </c>
      <c r="R168" s="212">
        <v>0.78</v>
      </c>
    </row>
    <row r="169" spans="3:18">
      <c r="D169" s="207"/>
      <c r="E169" s="207"/>
      <c r="F169" s="207"/>
      <c r="P169" s="209" t="s">
        <v>476</v>
      </c>
      <c r="Q169" s="210" t="s">
        <v>89</v>
      </c>
      <c r="R169" s="209">
        <v>0.88</v>
      </c>
    </row>
    <row r="170" spans="3:18">
      <c r="D170" s="207"/>
      <c r="E170" s="207"/>
      <c r="F170" s="207"/>
      <c r="P170" s="209" t="s">
        <v>476</v>
      </c>
      <c r="Q170" s="210" t="s">
        <v>478</v>
      </c>
      <c r="R170" s="209">
        <v>0.83</v>
      </c>
    </row>
    <row r="171" spans="3:18">
      <c r="D171" s="207"/>
      <c r="E171" s="207"/>
      <c r="F171" s="207"/>
      <c r="P171" s="209" t="s">
        <v>476</v>
      </c>
      <c r="Q171" s="211" t="s">
        <v>479</v>
      </c>
      <c r="R171" s="212">
        <v>0.78</v>
      </c>
    </row>
    <row r="172" spans="3:18">
      <c r="C172" s="213"/>
      <c r="D172" s="214"/>
      <c r="E172" s="214"/>
      <c r="F172" s="214"/>
      <c r="G172" s="214"/>
      <c r="P172" s="215" t="s">
        <v>477</v>
      </c>
      <c r="Q172" s="210" t="s">
        <v>89</v>
      </c>
      <c r="R172" s="215">
        <v>0.85</v>
      </c>
    </row>
    <row r="173" spans="3:18">
      <c r="C173" s="191" t="s">
        <v>480</v>
      </c>
      <c r="P173" s="215" t="s">
        <v>477</v>
      </c>
      <c r="Q173" s="210" t="s">
        <v>478</v>
      </c>
      <c r="R173" s="212">
        <v>0.78</v>
      </c>
    </row>
    <row r="174" spans="3:18">
      <c r="C174" s="207" t="s">
        <v>482</v>
      </c>
      <c r="P174" s="215" t="s">
        <v>477</v>
      </c>
      <c r="Q174" s="211" t="s">
        <v>479</v>
      </c>
      <c r="R174" s="212">
        <v>0.78</v>
      </c>
    </row>
    <row r="175" spans="3:18">
      <c r="C175" t="s">
        <v>497</v>
      </c>
      <c r="G175" s="148"/>
      <c r="H175" s="148"/>
    </row>
    <row r="176" spans="3:18">
      <c r="C176" t="s">
        <v>498</v>
      </c>
      <c r="D176" s="148"/>
      <c r="E176" s="148"/>
      <c r="F176" s="148"/>
    </row>
    <row r="177" spans="3:18">
      <c r="C177" t="s">
        <v>481</v>
      </c>
      <c r="P177" s="217" t="s">
        <v>507</v>
      </c>
      <c r="Q177"/>
      <c r="R177"/>
    </row>
    <row r="178" spans="3:18" ht="123.9">
      <c r="C178" t="s">
        <v>496</v>
      </c>
      <c r="P178" s="218" t="s">
        <v>150</v>
      </c>
      <c r="Q178" s="218" t="s">
        <v>508</v>
      </c>
      <c r="R178"/>
    </row>
    <row r="179" spans="3:18" ht="24.6">
      <c r="C179" t="s">
        <v>483</v>
      </c>
      <c r="O179" s="219" t="s">
        <v>511</v>
      </c>
      <c r="P179" s="219" t="s">
        <v>509</v>
      </c>
      <c r="Q179" s="219" t="s">
        <v>510</v>
      </c>
    </row>
    <row r="180" spans="3:18" ht="24.6">
      <c r="C180" t="s">
        <v>493</v>
      </c>
      <c r="O180" s="219" t="s">
        <v>511</v>
      </c>
      <c r="P180" s="219" t="s">
        <v>512</v>
      </c>
      <c r="Q180" s="219" t="s">
        <v>513</v>
      </c>
      <c r="R180"/>
    </row>
    <row r="181" spans="3:18">
      <c r="C181" t="s">
        <v>494</v>
      </c>
      <c r="O181" s="219" t="s">
        <v>511</v>
      </c>
      <c r="P181" s="219" t="s">
        <v>21</v>
      </c>
      <c r="Q181" s="219" t="s">
        <v>514</v>
      </c>
      <c r="R181"/>
    </row>
    <row r="182" spans="3:18">
      <c r="C182" t="s">
        <v>495</v>
      </c>
      <c r="O182" s="219" t="s">
        <v>511</v>
      </c>
      <c r="P182" s="219" t="s">
        <v>515</v>
      </c>
      <c r="Q182" s="219" t="s">
        <v>516</v>
      </c>
      <c r="R182"/>
    </row>
    <row r="183" spans="3:18">
      <c r="C183" s="336" t="s">
        <v>484</v>
      </c>
      <c r="D183" s="338" t="s">
        <v>485</v>
      </c>
      <c r="E183" s="339"/>
      <c r="O183" s="219" t="s">
        <v>511</v>
      </c>
      <c r="P183" s="219" t="s">
        <v>517</v>
      </c>
      <c r="Q183" s="219" t="s">
        <v>518</v>
      </c>
      <c r="R183"/>
    </row>
    <row r="184" spans="3:18" ht="24.6">
      <c r="C184" s="337"/>
      <c r="D184" s="198" t="s">
        <v>486</v>
      </c>
      <c r="E184" s="199" t="s">
        <v>487</v>
      </c>
      <c r="O184" s="219" t="s">
        <v>511</v>
      </c>
      <c r="P184" s="219" t="s">
        <v>301</v>
      </c>
      <c r="Q184" s="219" t="s">
        <v>519</v>
      </c>
      <c r="R184"/>
    </row>
    <row r="185" spans="3:18" ht="49.2">
      <c r="C185" s="200" t="s">
        <v>488</v>
      </c>
      <c r="D185" s="198" t="s">
        <v>489</v>
      </c>
      <c r="E185" s="199" t="s">
        <v>490</v>
      </c>
      <c r="O185" s="219" t="s">
        <v>521</v>
      </c>
      <c r="P185" s="219" t="s">
        <v>7</v>
      </c>
      <c r="Q185" s="219" t="s">
        <v>520</v>
      </c>
    </row>
    <row r="186" spans="3:18" ht="36.9">
      <c r="C186" s="201" t="s">
        <v>491</v>
      </c>
      <c r="D186" s="338" t="s">
        <v>492</v>
      </c>
      <c r="E186" s="339"/>
      <c r="F186" s="148"/>
      <c r="O186" s="219" t="s">
        <v>521</v>
      </c>
      <c r="P186" s="219" t="s">
        <v>522</v>
      </c>
      <c r="Q186" s="219" t="s">
        <v>520</v>
      </c>
      <c r="R186"/>
    </row>
    <row r="187" spans="3:18" ht="36.9">
      <c r="O187" s="219" t="s">
        <v>521</v>
      </c>
      <c r="P187" s="219" t="s">
        <v>523</v>
      </c>
      <c r="Q187" s="219" t="s">
        <v>520</v>
      </c>
      <c r="R187"/>
    </row>
    <row r="188" spans="3:18" ht="36.9">
      <c r="O188" s="219" t="s">
        <v>521</v>
      </c>
      <c r="P188" s="219" t="s">
        <v>524</v>
      </c>
      <c r="Q188" s="219" t="s">
        <v>520</v>
      </c>
      <c r="R188"/>
    </row>
    <row r="191" spans="3:18">
      <c r="O191" t="s">
        <v>537</v>
      </c>
      <c r="P191"/>
      <c r="Q191"/>
    </row>
    <row r="192" spans="3:18">
      <c r="M192" s="203" t="s">
        <v>484</v>
      </c>
      <c r="N192" s="221"/>
      <c r="O192" s="221"/>
      <c r="P192" s="73" t="s">
        <v>485</v>
      </c>
      <c r="Q192" t="s">
        <v>539</v>
      </c>
    </row>
    <row r="193" spans="13:17" ht="12.3" customHeight="1">
      <c r="M193" s="221"/>
      <c r="N193" s="221" t="s">
        <v>486</v>
      </c>
      <c r="O193" s="222" t="s">
        <v>488</v>
      </c>
      <c r="P193" s="223" t="s">
        <v>489</v>
      </c>
      <c r="Q193" s="89">
        <v>0.6</v>
      </c>
    </row>
    <row r="194" spans="13:17" ht="12.3" customHeight="1">
      <c r="M194" s="221"/>
      <c r="N194" s="221" t="s">
        <v>486</v>
      </c>
      <c r="O194" s="222" t="s">
        <v>491</v>
      </c>
      <c r="P194" s="221" t="s">
        <v>492</v>
      </c>
      <c r="Q194" s="89">
        <v>0.75</v>
      </c>
    </row>
    <row r="195" spans="13:17">
      <c r="M195" s="221" t="s">
        <v>532</v>
      </c>
      <c r="N195" s="169" t="s">
        <v>540</v>
      </c>
      <c r="O195" s="222" t="s">
        <v>488</v>
      </c>
      <c r="P195" s="169" t="s">
        <v>531</v>
      </c>
      <c r="Q195" s="89">
        <v>0.3</v>
      </c>
    </row>
    <row r="196" spans="13:17">
      <c r="M196" s="221" t="s">
        <v>534</v>
      </c>
      <c r="N196" s="169" t="s">
        <v>541</v>
      </c>
      <c r="O196" s="222" t="s">
        <v>488</v>
      </c>
      <c r="P196" s="221" t="s">
        <v>533</v>
      </c>
      <c r="Q196" s="89">
        <v>0.4</v>
      </c>
    </row>
    <row r="197" spans="13:17">
      <c r="M197" s="221"/>
      <c r="N197" s="169" t="s">
        <v>487</v>
      </c>
      <c r="O197" s="222" t="s">
        <v>491</v>
      </c>
      <c r="P197" s="221" t="s">
        <v>492</v>
      </c>
      <c r="Q197" s="89">
        <v>0.75</v>
      </c>
    </row>
    <row r="199" spans="13:17" ht="12.3" customHeight="1"/>
    <row r="202" spans="13:17" ht="12.3" customHeight="1">
      <c r="Q202" s="220"/>
    </row>
    <row r="203" spans="13:17">
      <c r="Q203" s="113"/>
    </row>
    <row r="204" spans="13:17">
      <c r="Q204" s="113"/>
    </row>
    <row r="205" spans="13:17">
      <c r="Q205" s="113"/>
    </row>
    <row r="206" spans="13:17">
      <c r="Q206" s="113"/>
    </row>
    <row r="207" spans="13:17">
      <c r="Q207" s="113"/>
    </row>
  </sheetData>
  <mergeCells count="58">
    <mergeCell ref="H109:J111"/>
    <mergeCell ref="M118:N118"/>
    <mergeCell ref="O118:P118"/>
    <mergeCell ref="Q118:R118"/>
    <mergeCell ref="H124:J125"/>
    <mergeCell ref="M116:N116"/>
    <mergeCell ref="O116:P116"/>
    <mergeCell ref="Q116:R116"/>
    <mergeCell ref="M117:N117"/>
    <mergeCell ref="O117:P117"/>
    <mergeCell ref="Q117:R117"/>
    <mergeCell ref="M114:N114"/>
    <mergeCell ref="O114:P114"/>
    <mergeCell ref="Q114:R114"/>
    <mergeCell ref="M115:N115"/>
    <mergeCell ref="O115:P115"/>
    <mergeCell ref="Q115:R115"/>
    <mergeCell ref="M111:N111"/>
    <mergeCell ref="O111:P111"/>
    <mergeCell ref="Q111:R111"/>
    <mergeCell ref="M112:N112"/>
    <mergeCell ref="O112:P112"/>
    <mergeCell ref="Q112:R112"/>
    <mergeCell ref="O109:P109"/>
    <mergeCell ref="Q109:R109"/>
    <mergeCell ref="M110:N110"/>
    <mergeCell ref="O110:P110"/>
    <mergeCell ref="Q110:R110"/>
    <mergeCell ref="M107:N107"/>
    <mergeCell ref="O107:P107"/>
    <mergeCell ref="Q107:R107"/>
    <mergeCell ref="M104:N104"/>
    <mergeCell ref="O104:P104"/>
    <mergeCell ref="Q104:R104"/>
    <mergeCell ref="M105:N105"/>
    <mergeCell ref="O105:P105"/>
    <mergeCell ref="Q105:R105"/>
    <mergeCell ref="D2:N2"/>
    <mergeCell ref="M50:P50"/>
    <mergeCell ref="L51:O51"/>
    <mergeCell ref="D49:Q49"/>
    <mergeCell ref="L85:M86"/>
    <mergeCell ref="Q164:Q165"/>
    <mergeCell ref="C183:C184"/>
    <mergeCell ref="D183:E183"/>
    <mergeCell ref="D186:E186"/>
    <mergeCell ref="S13:Y14"/>
    <mergeCell ref="C96:M96"/>
    <mergeCell ref="C97:M97"/>
    <mergeCell ref="C98:M98"/>
    <mergeCell ref="I85:K86"/>
    <mergeCell ref="Q108:R108"/>
    <mergeCell ref="M109:N109"/>
    <mergeCell ref="M108:N108"/>
    <mergeCell ref="O108:P108"/>
    <mergeCell ref="M106:N106"/>
    <mergeCell ref="O106:P106"/>
    <mergeCell ref="Q106:R106"/>
  </mergeCells>
  <phoneticPr fontId="52" type="noConversion"/>
  <conditionalFormatting sqref="S53:S82">
    <cfRule type="colorScale" priority="5">
      <colorScale>
        <cfvo type="num" val="1600"/>
        <cfvo type="num" val="2100"/>
        <cfvo type="num" val="3000"/>
        <color rgb="FFFF0000"/>
        <color rgb="FF00B050"/>
        <color rgb="FFFF0000"/>
      </colorScale>
    </cfRule>
  </conditionalFormatting>
  <conditionalFormatting sqref="G118:G119">
    <cfRule type="expression" dxfId="15" priority="3">
      <formula>$C$16=$AI$19</formula>
    </cfRule>
  </conditionalFormatting>
  <conditionalFormatting sqref="G105">
    <cfRule type="expression" dxfId="14" priority="2">
      <formula>$C$16=$AI$19</formula>
    </cfRule>
  </conditionalFormatting>
  <conditionalFormatting sqref="G114:G115">
    <cfRule type="expression" dxfId="13" priority="1">
      <formula>$C$16=$AI$19</formula>
    </cfRule>
  </conditionalFormatting>
  <dataValidations count="5">
    <dataValidation type="list" allowBlank="1" showInputMessage="1" showErrorMessage="1" sqref="G119" xr:uid="{573E4CBA-F8AC-40E5-8D32-2D814054D45A}">
      <formula1>$G$169:$G$171</formula1>
    </dataValidation>
    <dataValidation type="list" allowBlank="1" showInputMessage="1" showErrorMessage="1" sqref="G105" xr:uid="{19EE7C56-191D-45FF-BB9C-FE2CACF785D2}">
      <formula1>$P$179:$P$188</formula1>
    </dataValidation>
    <dataValidation type="list" allowBlank="1" showInputMessage="1" showErrorMessage="1" sqref="G118" xr:uid="{9C287FB6-ED28-4662-8318-92E2237057A6}">
      <formula1>#REF!</formula1>
    </dataValidation>
    <dataValidation type="list" allowBlank="1" showInputMessage="1" showErrorMessage="1" sqref="G114" xr:uid="{A49E903A-5839-465E-B9BC-EEC56D299B91}">
      <formula1>$N$194:$N$195</formula1>
    </dataValidation>
    <dataValidation type="list" allowBlank="1" showInputMessage="1" showErrorMessage="1" sqref="G115" xr:uid="{891CCA9F-9725-495F-B57C-7986982D04B1}">
      <formula1>$O$194:$O$195</formula1>
    </dataValidation>
  </dataValidations>
  <hyperlinks>
    <hyperlink ref="I113" r:id="rId1" xr:uid="{F2D12E72-BCE1-47D4-B2EB-18C252CA597B}"/>
  </hyperlinks>
  <pageMargins left="0.25" right="0.25" top="0.75" bottom="0.75" header="0.3" footer="0.3"/>
  <pageSetup paperSize="9" scale="13"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32"/>
  <sheetViews>
    <sheetView workbookViewId="0">
      <selection activeCell="B4" sqref="B4"/>
    </sheetView>
  </sheetViews>
  <sheetFormatPr baseColWidth="10" defaultRowHeight="12.3"/>
  <sheetData>
    <row r="1" spans="1:17" ht="15">
      <c r="B1" s="82" t="s">
        <v>395</v>
      </c>
      <c r="C1" s="82"/>
      <c r="D1" s="82"/>
    </row>
    <row r="2" spans="1:17" ht="25.5" customHeight="1" thickBot="1">
      <c r="B2" s="378" t="s">
        <v>387</v>
      </c>
      <c r="C2" s="385" t="s">
        <v>624</v>
      </c>
      <c r="D2" s="386"/>
      <c r="E2" s="386"/>
      <c r="F2" s="386"/>
      <c r="G2" s="386"/>
      <c r="H2" s="386"/>
      <c r="I2" s="386"/>
      <c r="J2" s="386"/>
      <c r="K2" s="386"/>
      <c r="L2" s="386"/>
      <c r="M2" s="386"/>
      <c r="N2" s="386"/>
      <c r="O2" s="386"/>
      <c r="P2" s="386"/>
      <c r="Q2" s="387"/>
    </row>
    <row r="3" spans="1:17" ht="12.6" thickBot="1">
      <c r="A3" s="303">
        <v>16</v>
      </c>
      <c r="B3" s="379"/>
      <c r="C3" s="87">
        <v>30</v>
      </c>
      <c r="D3" s="87">
        <v>28</v>
      </c>
      <c r="E3" s="87">
        <v>26</v>
      </c>
      <c r="F3" s="87">
        <v>24</v>
      </c>
      <c r="G3" s="87">
        <v>22</v>
      </c>
      <c r="H3" s="87">
        <v>20</v>
      </c>
      <c r="I3" s="87">
        <v>18</v>
      </c>
      <c r="J3" s="87">
        <v>16</v>
      </c>
      <c r="K3" s="87">
        <v>14</v>
      </c>
      <c r="L3" s="87">
        <v>12</v>
      </c>
      <c r="M3" s="87">
        <v>10</v>
      </c>
      <c r="N3" s="87">
        <v>8</v>
      </c>
      <c r="O3" s="87">
        <v>6</v>
      </c>
      <c r="P3" s="87">
        <v>4</v>
      </c>
      <c r="Q3" s="87">
        <v>2</v>
      </c>
    </row>
    <row r="4" spans="1:17" ht="12.9" thickBot="1">
      <c r="A4" s="308">
        <f t="shared" ref="A4:A23" si="0">1/((A$3/100)/$B4)</f>
        <v>0.21875</v>
      </c>
      <c r="B4" s="309">
        <v>3.5000000000000003E-2</v>
      </c>
      <c r="C4" s="310">
        <f t="shared" ref="C4:E23" si="1">1/((C$3/100)/$B4)</f>
        <v>0.11666666666666667</v>
      </c>
      <c r="D4" s="311">
        <f t="shared" ref="D4:Q4" si="2">1/((D$3/100)/$B4)</f>
        <v>0.125</v>
      </c>
      <c r="E4" s="311">
        <f t="shared" si="1"/>
        <v>0.13461538461538464</v>
      </c>
      <c r="F4" s="311">
        <f t="shared" si="2"/>
        <v>0.14583333333333337</v>
      </c>
      <c r="G4" s="311">
        <f t="shared" si="2"/>
        <v>0.15909090909090909</v>
      </c>
      <c r="H4" s="311">
        <f t="shared" si="2"/>
        <v>0.17499999999999999</v>
      </c>
      <c r="I4" s="311">
        <f t="shared" si="2"/>
        <v>0.19444444444444448</v>
      </c>
      <c r="J4" s="311">
        <f t="shared" si="2"/>
        <v>0.21875</v>
      </c>
      <c r="K4" s="311">
        <f t="shared" si="2"/>
        <v>0.25</v>
      </c>
      <c r="L4" s="311">
        <f t="shared" si="2"/>
        <v>0.29166666666666674</v>
      </c>
      <c r="M4" s="311">
        <f t="shared" si="2"/>
        <v>0.35</v>
      </c>
      <c r="N4" s="311">
        <f t="shared" si="2"/>
        <v>0.4375</v>
      </c>
      <c r="O4" s="311">
        <f t="shared" si="2"/>
        <v>0.58333333333333348</v>
      </c>
      <c r="P4" s="311">
        <f t="shared" si="2"/>
        <v>0.875</v>
      </c>
      <c r="Q4" s="312">
        <f t="shared" si="2"/>
        <v>1.75</v>
      </c>
    </row>
    <row r="5" spans="1:17" ht="12.6">
      <c r="A5" s="304">
        <f t="shared" si="0"/>
        <v>0.3</v>
      </c>
      <c r="B5" s="305">
        <v>4.8000000000000001E-2</v>
      </c>
      <c r="C5" s="306">
        <f t="shared" si="1"/>
        <v>0.16</v>
      </c>
      <c r="D5" s="307">
        <f t="shared" ref="D5:D15" si="3">1/((D$3/100)/$B5)</f>
        <v>0.1714285714285714</v>
      </c>
      <c r="E5" s="307">
        <f t="shared" si="1"/>
        <v>0.1846153846153846</v>
      </c>
      <c r="F5" s="307">
        <f t="shared" ref="F5:Q15" si="4">1/((F$3/100)/$B5)</f>
        <v>0.2</v>
      </c>
      <c r="G5" s="307">
        <f t="shared" si="4"/>
        <v>0.2181818181818182</v>
      </c>
      <c r="H5" s="307">
        <f t="shared" si="4"/>
        <v>0.24</v>
      </c>
      <c r="I5" s="307">
        <f t="shared" si="4"/>
        <v>0.26666666666666666</v>
      </c>
      <c r="J5" s="307">
        <f t="shared" si="4"/>
        <v>0.3</v>
      </c>
      <c r="K5" s="307">
        <f t="shared" si="4"/>
        <v>0.3428571428571428</v>
      </c>
      <c r="L5" s="307">
        <f t="shared" si="4"/>
        <v>0.4</v>
      </c>
      <c r="M5" s="307">
        <f t="shared" si="4"/>
        <v>0.48</v>
      </c>
      <c r="N5" s="307">
        <f t="shared" si="4"/>
        <v>0.6</v>
      </c>
      <c r="O5" s="307">
        <f t="shared" si="4"/>
        <v>0.8</v>
      </c>
      <c r="P5" s="307">
        <f t="shared" si="4"/>
        <v>1.2</v>
      </c>
      <c r="Q5" s="307">
        <f t="shared" si="4"/>
        <v>2.4</v>
      </c>
    </row>
    <row r="6" spans="1:17" ht="12.6">
      <c r="A6" s="301">
        <f t="shared" si="0"/>
        <v>0.28749999999999998</v>
      </c>
      <c r="B6" s="300">
        <v>4.5999999999999999E-2</v>
      </c>
      <c r="C6" s="88">
        <f t="shared" si="1"/>
        <v>0.15333333333333335</v>
      </c>
      <c r="D6" s="80">
        <f t="shared" si="3"/>
        <v>0.16428571428571428</v>
      </c>
      <c r="E6" s="80">
        <f t="shared" si="1"/>
        <v>0.17692307692307691</v>
      </c>
      <c r="F6" s="80">
        <f t="shared" si="4"/>
        <v>0.19166666666666665</v>
      </c>
      <c r="G6" s="80">
        <f t="shared" si="4"/>
        <v>0.20909090909090911</v>
      </c>
      <c r="H6" s="80">
        <f t="shared" si="4"/>
        <v>0.22999999999999995</v>
      </c>
      <c r="I6" s="80">
        <f t="shared" si="4"/>
        <v>0.25555555555555554</v>
      </c>
      <c r="J6" s="80">
        <f t="shared" si="4"/>
        <v>0.28749999999999998</v>
      </c>
      <c r="K6" s="80">
        <f t="shared" si="4"/>
        <v>0.32857142857142857</v>
      </c>
      <c r="L6" s="80">
        <f t="shared" si="4"/>
        <v>0.3833333333333333</v>
      </c>
      <c r="M6" s="80">
        <f t="shared" si="4"/>
        <v>0.45999999999999991</v>
      </c>
      <c r="N6" s="80">
        <f t="shared" si="4"/>
        <v>0.57499999999999996</v>
      </c>
      <c r="O6" s="80">
        <f t="shared" si="4"/>
        <v>0.76666666666666661</v>
      </c>
      <c r="P6" s="80">
        <f t="shared" si="4"/>
        <v>1.1499999999999999</v>
      </c>
      <c r="Q6" s="80">
        <f t="shared" si="4"/>
        <v>2.2999999999999998</v>
      </c>
    </row>
    <row r="7" spans="1:17" ht="12.6">
      <c r="A7" s="301">
        <f t="shared" si="0"/>
        <v>0.27499999999999997</v>
      </c>
      <c r="B7" s="300">
        <v>4.3999999999999997E-2</v>
      </c>
      <c r="C7" s="88">
        <f t="shared" si="1"/>
        <v>0.14666666666666667</v>
      </c>
      <c r="D7" s="80">
        <f t="shared" si="3"/>
        <v>0.15714285714285714</v>
      </c>
      <c r="E7" s="80">
        <f t="shared" si="1"/>
        <v>0.16923076923076921</v>
      </c>
      <c r="F7" s="80">
        <f t="shared" si="4"/>
        <v>0.18333333333333332</v>
      </c>
      <c r="G7" s="80">
        <f t="shared" si="4"/>
        <v>0.2</v>
      </c>
      <c r="H7" s="80">
        <f t="shared" si="4"/>
        <v>0.21999999999999997</v>
      </c>
      <c r="I7" s="80">
        <f t="shared" si="4"/>
        <v>0.24444444444444444</v>
      </c>
      <c r="J7" s="80">
        <f t="shared" si="4"/>
        <v>0.27499999999999997</v>
      </c>
      <c r="K7" s="80">
        <f t="shared" si="4"/>
        <v>0.31428571428571428</v>
      </c>
      <c r="L7" s="80">
        <f t="shared" si="4"/>
        <v>0.36666666666666664</v>
      </c>
      <c r="M7" s="80">
        <f t="shared" si="4"/>
        <v>0.43999999999999995</v>
      </c>
      <c r="N7" s="80">
        <f t="shared" si="4"/>
        <v>0.54999999999999993</v>
      </c>
      <c r="O7" s="80">
        <f t="shared" si="4"/>
        <v>0.73333333333333328</v>
      </c>
      <c r="P7" s="80">
        <f t="shared" si="4"/>
        <v>1.0999999999999999</v>
      </c>
      <c r="Q7" s="80">
        <f t="shared" si="4"/>
        <v>2.1999999999999997</v>
      </c>
    </row>
    <row r="8" spans="1:17" ht="12.6">
      <c r="A8" s="301">
        <f t="shared" si="0"/>
        <v>0.26250000000000001</v>
      </c>
      <c r="B8" s="300">
        <v>4.2000000000000003E-2</v>
      </c>
      <c r="C8" s="88">
        <f t="shared" si="1"/>
        <v>0.14000000000000001</v>
      </c>
      <c r="D8" s="80">
        <f t="shared" si="3"/>
        <v>0.15</v>
      </c>
      <c r="E8" s="80">
        <f t="shared" si="1"/>
        <v>0.16153846153846152</v>
      </c>
      <c r="F8" s="80">
        <f t="shared" si="4"/>
        <v>0.17500000000000002</v>
      </c>
      <c r="G8" s="80">
        <f t="shared" si="4"/>
        <v>0.19090909090909092</v>
      </c>
      <c r="H8" s="80">
        <f t="shared" si="4"/>
        <v>0.21</v>
      </c>
      <c r="I8" s="80">
        <f t="shared" si="4"/>
        <v>0.23333333333333334</v>
      </c>
      <c r="J8" s="80">
        <f t="shared" si="4"/>
        <v>0.26250000000000001</v>
      </c>
      <c r="K8" s="80">
        <f t="shared" si="4"/>
        <v>0.3</v>
      </c>
      <c r="L8" s="80">
        <f t="shared" si="4"/>
        <v>0.35000000000000003</v>
      </c>
      <c r="M8" s="80">
        <f t="shared" si="4"/>
        <v>0.42</v>
      </c>
      <c r="N8" s="80">
        <f t="shared" si="4"/>
        <v>0.52500000000000002</v>
      </c>
      <c r="O8" s="80">
        <f t="shared" si="4"/>
        <v>0.70000000000000007</v>
      </c>
      <c r="P8" s="80">
        <f t="shared" si="4"/>
        <v>1.05</v>
      </c>
      <c r="Q8" s="80">
        <f t="shared" si="4"/>
        <v>2.1</v>
      </c>
    </row>
    <row r="9" spans="1:17" ht="12.6">
      <c r="A9" s="301">
        <f t="shared" si="0"/>
        <v>0.25</v>
      </c>
      <c r="B9" s="300">
        <v>0.04</v>
      </c>
      <c r="C9" s="88">
        <f t="shared" si="1"/>
        <v>0.13333333333333333</v>
      </c>
      <c r="D9" s="80">
        <f t="shared" si="3"/>
        <v>0.14285714285714285</v>
      </c>
      <c r="E9" s="80">
        <f t="shared" si="1"/>
        <v>0.15384615384615385</v>
      </c>
      <c r="F9" s="80">
        <f t="shared" si="4"/>
        <v>0.16666666666666666</v>
      </c>
      <c r="G9" s="80">
        <f t="shared" si="4"/>
        <v>0.18181818181818182</v>
      </c>
      <c r="H9" s="80">
        <f t="shared" si="4"/>
        <v>0.2</v>
      </c>
      <c r="I9" s="80">
        <f t="shared" si="4"/>
        <v>0.22222222222222221</v>
      </c>
      <c r="J9" s="80">
        <f t="shared" si="4"/>
        <v>0.25</v>
      </c>
      <c r="K9" s="80">
        <f t="shared" si="4"/>
        <v>0.2857142857142857</v>
      </c>
      <c r="L9" s="80">
        <f t="shared" si="4"/>
        <v>0.33333333333333331</v>
      </c>
      <c r="M9" s="80">
        <f t="shared" si="4"/>
        <v>0.4</v>
      </c>
      <c r="N9" s="80">
        <f t="shared" si="4"/>
        <v>0.5</v>
      </c>
      <c r="O9" s="80">
        <f t="shared" si="4"/>
        <v>0.66666666666666663</v>
      </c>
      <c r="P9" s="80">
        <f t="shared" si="4"/>
        <v>1</v>
      </c>
      <c r="Q9" s="80">
        <f t="shared" si="4"/>
        <v>2</v>
      </c>
    </row>
    <row r="10" spans="1:17" ht="12.6">
      <c r="A10" s="301">
        <f t="shared" si="0"/>
        <v>0.23750000000000002</v>
      </c>
      <c r="B10" s="300">
        <v>3.7999999999999999E-2</v>
      </c>
      <c r="C10" s="88">
        <f t="shared" si="1"/>
        <v>0.12666666666666668</v>
      </c>
      <c r="D10" s="80">
        <f t="shared" si="3"/>
        <v>0.1357142857142857</v>
      </c>
      <c r="E10" s="80">
        <f t="shared" si="1"/>
        <v>0.14615384615384613</v>
      </c>
      <c r="F10" s="80">
        <f t="shared" si="4"/>
        <v>0.15833333333333333</v>
      </c>
      <c r="G10" s="80">
        <f t="shared" si="4"/>
        <v>0.17272727272727273</v>
      </c>
      <c r="H10" s="80">
        <f t="shared" si="4"/>
        <v>0.18999999999999997</v>
      </c>
      <c r="I10" s="80">
        <f t="shared" si="4"/>
        <v>0.21111111111111114</v>
      </c>
      <c r="J10" s="80">
        <f t="shared" si="4"/>
        <v>0.23750000000000002</v>
      </c>
      <c r="K10" s="80">
        <f t="shared" si="4"/>
        <v>0.27142857142857141</v>
      </c>
      <c r="L10" s="80">
        <f t="shared" si="4"/>
        <v>0.31666666666666665</v>
      </c>
      <c r="M10" s="80">
        <f t="shared" si="4"/>
        <v>0.37999999999999995</v>
      </c>
      <c r="N10" s="80">
        <f t="shared" si="4"/>
        <v>0.47500000000000003</v>
      </c>
      <c r="O10" s="80">
        <f t="shared" si="4"/>
        <v>0.6333333333333333</v>
      </c>
      <c r="P10" s="80">
        <f t="shared" si="4"/>
        <v>0.95000000000000007</v>
      </c>
      <c r="Q10" s="80">
        <f t="shared" si="4"/>
        <v>1.9000000000000001</v>
      </c>
    </row>
    <row r="11" spans="1:17" ht="12.6">
      <c r="A11" s="301">
        <f t="shared" si="0"/>
        <v>0.22499999999999998</v>
      </c>
      <c r="B11" s="300">
        <v>3.5999999999999997E-2</v>
      </c>
      <c r="C11" s="88">
        <f t="shared" si="1"/>
        <v>0.12</v>
      </c>
      <c r="D11" s="80">
        <f t="shared" si="3"/>
        <v>0.12857142857142853</v>
      </c>
      <c r="E11" s="80">
        <f t="shared" si="1"/>
        <v>0.13846153846153844</v>
      </c>
      <c r="F11" s="80">
        <f t="shared" si="4"/>
        <v>0.15</v>
      </c>
      <c r="G11" s="80">
        <f t="shared" si="4"/>
        <v>0.16363636363636364</v>
      </c>
      <c r="H11" s="80">
        <f t="shared" si="4"/>
        <v>0.17999999999999997</v>
      </c>
      <c r="I11" s="80">
        <f t="shared" si="4"/>
        <v>0.2</v>
      </c>
      <c r="J11" s="80">
        <f t="shared" si="4"/>
        <v>0.22499999999999998</v>
      </c>
      <c r="K11" s="80">
        <f t="shared" si="4"/>
        <v>0.25714285714285706</v>
      </c>
      <c r="L11" s="80">
        <f t="shared" si="4"/>
        <v>0.3</v>
      </c>
      <c r="M11" s="80">
        <f t="shared" si="4"/>
        <v>0.35999999999999993</v>
      </c>
      <c r="N11" s="80">
        <f t="shared" si="4"/>
        <v>0.44999999999999996</v>
      </c>
      <c r="O11" s="80">
        <f t="shared" si="4"/>
        <v>0.6</v>
      </c>
      <c r="P11" s="80">
        <f t="shared" si="4"/>
        <v>0.89999999999999991</v>
      </c>
      <c r="Q11" s="80">
        <f t="shared" si="4"/>
        <v>1.7999999999999998</v>
      </c>
    </row>
    <row r="12" spans="1:17" s="82" customFormat="1" ht="14.1">
      <c r="A12" s="301">
        <f t="shared" si="0"/>
        <v>0.21875</v>
      </c>
      <c r="B12" s="300">
        <v>3.5000000000000003E-2</v>
      </c>
      <c r="C12" s="88">
        <f t="shared" si="1"/>
        <v>0.11666666666666667</v>
      </c>
      <c r="D12" s="80">
        <f t="shared" si="3"/>
        <v>0.125</v>
      </c>
      <c r="E12" s="80">
        <f t="shared" si="1"/>
        <v>0.13461538461538464</v>
      </c>
      <c r="F12" s="80">
        <f t="shared" si="4"/>
        <v>0.14583333333333337</v>
      </c>
      <c r="G12" s="80">
        <f t="shared" si="4"/>
        <v>0.15909090909090909</v>
      </c>
      <c r="H12" s="80">
        <f t="shared" si="4"/>
        <v>0.17499999999999999</v>
      </c>
      <c r="I12" s="80">
        <f t="shared" si="4"/>
        <v>0.19444444444444448</v>
      </c>
      <c r="J12" s="80">
        <f t="shared" si="4"/>
        <v>0.21875</v>
      </c>
      <c r="K12" s="80">
        <f t="shared" si="4"/>
        <v>0.25</v>
      </c>
      <c r="L12" s="80">
        <f t="shared" si="4"/>
        <v>0.29166666666666674</v>
      </c>
      <c r="M12" s="80">
        <f t="shared" si="4"/>
        <v>0.35</v>
      </c>
      <c r="N12" s="80">
        <f t="shared" si="4"/>
        <v>0.4375</v>
      </c>
      <c r="O12" s="80">
        <f t="shared" si="4"/>
        <v>0.58333333333333348</v>
      </c>
      <c r="P12" s="80">
        <f t="shared" si="4"/>
        <v>0.875</v>
      </c>
      <c r="Q12" s="80">
        <f t="shared" si="4"/>
        <v>1.75</v>
      </c>
    </row>
    <row r="13" spans="1:17" ht="12.6">
      <c r="A13" s="301">
        <f t="shared" si="0"/>
        <v>0.21249999999999999</v>
      </c>
      <c r="B13" s="300">
        <v>3.4000000000000002E-2</v>
      </c>
      <c r="C13" s="88">
        <f t="shared" si="1"/>
        <v>0.11333333333333334</v>
      </c>
      <c r="D13" s="80">
        <f t="shared" si="3"/>
        <v>0.12142857142857141</v>
      </c>
      <c r="E13" s="80">
        <f t="shared" si="1"/>
        <v>0.13076923076923078</v>
      </c>
      <c r="F13" s="80">
        <f t="shared" si="4"/>
        <v>0.14166666666666669</v>
      </c>
      <c r="G13" s="80">
        <f t="shared" si="4"/>
        <v>0.15454545454545457</v>
      </c>
      <c r="H13" s="80">
        <f t="shared" si="4"/>
        <v>0.17</v>
      </c>
      <c r="I13" s="80">
        <f t="shared" si="4"/>
        <v>0.18888888888888888</v>
      </c>
      <c r="J13" s="80">
        <f t="shared" si="4"/>
        <v>0.21249999999999999</v>
      </c>
      <c r="K13" s="80">
        <f t="shared" si="4"/>
        <v>0.24285714285714283</v>
      </c>
      <c r="L13" s="80">
        <f t="shared" si="4"/>
        <v>0.28333333333333338</v>
      </c>
      <c r="M13" s="80">
        <f t="shared" si="4"/>
        <v>0.34</v>
      </c>
      <c r="N13" s="80">
        <f t="shared" si="4"/>
        <v>0.42499999999999999</v>
      </c>
      <c r="O13" s="80">
        <f t="shared" si="4"/>
        <v>0.56666666666666676</v>
      </c>
      <c r="P13" s="80">
        <f t="shared" si="4"/>
        <v>0.85</v>
      </c>
      <c r="Q13" s="80">
        <f t="shared" si="4"/>
        <v>1.7</v>
      </c>
    </row>
    <row r="14" spans="1:17" ht="12.6">
      <c r="A14" s="301">
        <f t="shared" si="0"/>
        <v>0.2</v>
      </c>
      <c r="B14" s="300">
        <v>3.2000000000000001E-2</v>
      </c>
      <c r="C14" s="88">
        <f t="shared" si="1"/>
        <v>0.10666666666666667</v>
      </c>
      <c r="D14" s="80">
        <f t="shared" si="3"/>
        <v>0.11428571428571428</v>
      </c>
      <c r="E14" s="80">
        <f t="shared" si="1"/>
        <v>0.12307692307692308</v>
      </c>
      <c r="F14" s="80">
        <f t="shared" si="4"/>
        <v>0.13333333333333333</v>
      </c>
      <c r="G14" s="80">
        <f t="shared" si="4"/>
        <v>0.14545454545454545</v>
      </c>
      <c r="H14" s="80">
        <f t="shared" si="4"/>
        <v>0.16</v>
      </c>
      <c r="I14" s="80">
        <f t="shared" si="4"/>
        <v>0.17777777777777778</v>
      </c>
      <c r="J14" s="80">
        <f t="shared" si="4"/>
        <v>0.2</v>
      </c>
      <c r="K14" s="80">
        <f t="shared" si="4"/>
        <v>0.22857142857142856</v>
      </c>
      <c r="L14" s="80">
        <f t="shared" si="4"/>
        <v>0.26666666666666666</v>
      </c>
      <c r="M14" s="80">
        <f t="shared" si="4"/>
        <v>0.32</v>
      </c>
      <c r="N14" s="80">
        <f t="shared" si="4"/>
        <v>0.4</v>
      </c>
      <c r="O14" s="80">
        <f t="shared" si="4"/>
        <v>0.53333333333333333</v>
      </c>
      <c r="P14" s="80">
        <f t="shared" si="4"/>
        <v>0.8</v>
      </c>
      <c r="Q14" s="80">
        <f t="shared" si="4"/>
        <v>1.6</v>
      </c>
    </row>
    <row r="15" spans="1:17" ht="12.6">
      <c r="A15" s="301">
        <f t="shared" si="0"/>
        <v>0.18749999999999997</v>
      </c>
      <c r="B15" s="300">
        <v>0.03</v>
      </c>
      <c r="C15" s="88">
        <f t="shared" si="1"/>
        <v>0.1</v>
      </c>
      <c r="D15" s="80">
        <f t="shared" si="3"/>
        <v>0.10714285714285714</v>
      </c>
      <c r="E15" s="80">
        <f t="shared" si="1"/>
        <v>0.11538461538461536</v>
      </c>
      <c r="F15" s="80">
        <f t="shared" si="4"/>
        <v>0.125</v>
      </c>
      <c r="G15" s="80">
        <f t="shared" si="4"/>
        <v>0.13636363636363635</v>
      </c>
      <c r="H15" s="80">
        <f t="shared" si="4"/>
        <v>0.15</v>
      </c>
      <c r="I15" s="80">
        <f t="shared" si="4"/>
        <v>0.16666666666666666</v>
      </c>
      <c r="J15" s="80">
        <f t="shared" si="4"/>
        <v>0.18749999999999997</v>
      </c>
      <c r="K15" s="80">
        <f t="shared" si="4"/>
        <v>0.21428571428571427</v>
      </c>
      <c r="L15" s="80">
        <f t="shared" si="4"/>
        <v>0.25</v>
      </c>
      <c r="M15" s="80">
        <f t="shared" si="4"/>
        <v>0.3</v>
      </c>
      <c r="N15" s="80">
        <f t="shared" si="4"/>
        <v>0.37499999999999994</v>
      </c>
      <c r="O15" s="80">
        <f t="shared" si="4"/>
        <v>0.5</v>
      </c>
      <c r="P15" s="80">
        <f t="shared" si="4"/>
        <v>0.74999999999999989</v>
      </c>
      <c r="Q15" s="80">
        <f t="shared" si="4"/>
        <v>1.4999999999999998</v>
      </c>
    </row>
    <row r="16" spans="1:17" ht="12.6">
      <c r="A16" s="301">
        <f t="shared" si="0"/>
        <v>0.17499999999999999</v>
      </c>
      <c r="B16" s="300">
        <v>2.8000000000000001E-2</v>
      </c>
      <c r="C16" s="88">
        <f t="shared" si="1"/>
        <v>9.3333333333333338E-2</v>
      </c>
      <c r="D16" s="80">
        <f t="shared" ref="D16:Q23" si="5">1/((D$3/100)/$B16)</f>
        <v>0.1</v>
      </c>
      <c r="E16" s="80">
        <f t="shared" si="1"/>
        <v>0.10769230769230768</v>
      </c>
      <c r="F16" s="80">
        <f t="shared" si="5"/>
        <v>0.11666666666666667</v>
      </c>
      <c r="G16" s="80">
        <f t="shared" si="5"/>
        <v>0.12727272727272729</v>
      </c>
      <c r="H16" s="80">
        <f t="shared" si="5"/>
        <v>0.13999999999999999</v>
      </c>
      <c r="I16" s="80">
        <f t="shared" si="5"/>
        <v>0.15555555555555556</v>
      </c>
      <c r="J16" s="80">
        <f t="shared" si="5"/>
        <v>0.17499999999999999</v>
      </c>
      <c r="K16" s="80">
        <f t="shared" si="5"/>
        <v>0.2</v>
      </c>
      <c r="L16" s="80">
        <f t="shared" si="5"/>
        <v>0.23333333333333334</v>
      </c>
      <c r="M16" s="80">
        <f t="shared" si="5"/>
        <v>0.27999999999999997</v>
      </c>
      <c r="N16" s="80">
        <f t="shared" si="5"/>
        <v>0.35</v>
      </c>
      <c r="O16" s="80">
        <f t="shared" si="5"/>
        <v>0.46666666666666667</v>
      </c>
      <c r="P16" s="80">
        <f t="shared" si="5"/>
        <v>0.7</v>
      </c>
      <c r="Q16" s="80">
        <f t="shared" si="5"/>
        <v>1.4</v>
      </c>
    </row>
    <row r="17" spans="1:17" ht="12.6">
      <c r="A17" s="301">
        <f t="shared" si="0"/>
        <v>0.16249999999999998</v>
      </c>
      <c r="B17" s="300">
        <v>2.5999999999999999E-2</v>
      </c>
      <c r="C17" s="88">
        <f t="shared" si="1"/>
        <v>8.666666666666667E-2</v>
      </c>
      <c r="D17" s="80">
        <f t="shared" si="5"/>
        <v>9.2857142857142846E-2</v>
      </c>
      <c r="E17" s="80">
        <f t="shared" si="1"/>
        <v>0.1</v>
      </c>
      <c r="F17" s="80">
        <f t="shared" si="5"/>
        <v>0.10833333333333332</v>
      </c>
      <c r="G17" s="80">
        <f t="shared" si="5"/>
        <v>0.11818181818181818</v>
      </c>
      <c r="H17" s="80">
        <f t="shared" si="5"/>
        <v>0.12999999999999998</v>
      </c>
      <c r="I17" s="80">
        <f t="shared" si="5"/>
        <v>0.14444444444444443</v>
      </c>
      <c r="J17" s="80">
        <f t="shared" si="5"/>
        <v>0.16249999999999998</v>
      </c>
      <c r="K17" s="80">
        <f t="shared" si="5"/>
        <v>0.18571428571428569</v>
      </c>
      <c r="L17" s="80">
        <f t="shared" si="5"/>
        <v>0.21666666666666665</v>
      </c>
      <c r="M17" s="80">
        <f t="shared" si="5"/>
        <v>0.25999999999999995</v>
      </c>
      <c r="N17" s="80">
        <f t="shared" si="5"/>
        <v>0.32499999999999996</v>
      </c>
      <c r="O17" s="80">
        <f t="shared" si="5"/>
        <v>0.43333333333333329</v>
      </c>
      <c r="P17" s="80">
        <f t="shared" si="5"/>
        <v>0.64999999999999991</v>
      </c>
      <c r="Q17" s="80">
        <f t="shared" si="5"/>
        <v>1.2999999999999998</v>
      </c>
    </row>
    <row r="18" spans="1:17" ht="12.6">
      <c r="A18" s="301">
        <f t="shared" si="0"/>
        <v>0.15</v>
      </c>
      <c r="B18" s="300">
        <v>2.4E-2</v>
      </c>
      <c r="C18" s="88">
        <f t="shared" si="1"/>
        <v>0.08</v>
      </c>
      <c r="D18" s="80">
        <f t="shared" si="5"/>
        <v>8.5714285714285701E-2</v>
      </c>
      <c r="E18" s="80">
        <f t="shared" si="1"/>
        <v>9.2307692307692299E-2</v>
      </c>
      <c r="F18" s="80">
        <f t="shared" si="5"/>
        <v>0.1</v>
      </c>
      <c r="G18" s="80">
        <f t="shared" si="5"/>
        <v>0.1090909090909091</v>
      </c>
      <c r="H18" s="80">
        <f t="shared" si="5"/>
        <v>0.12</v>
      </c>
      <c r="I18" s="80">
        <f t="shared" si="5"/>
        <v>0.13333333333333333</v>
      </c>
      <c r="J18" s="80">
        <f t="shared" si="5"/>
        <v>0.15</v>
      </c>
      <c r="K18" s="80">
        <f t="shared" si="5"/>
        <v>0.1714285714285714</v>
      </c>
      <c r="L18" s="80">
        <f t="shared" si="5"/>
        <v>0.2</v>
      </c>
      <c r="M18" s="80">
        <f t="shared" si="5"/>
        <v>0.24</v>
      </c>
      <c r="N18" s="80">
        <f t="shared" si="5"/>
        <v>0.3</v>
      </c>
      <c r="O18" s="80">
        <f t="shared" si="5"/>
        <v>0.4</v>
      </c>
      <c r="P18" s="80">
        <f t="shared" si="5"/>
        <v>0.6</v>
      </c>
      <c r="Q18" s="80">
        <f t="shared" si="5"/>
        <v>1.2</v>
      </c>
    </row>
    <row r="19" spans="1:17" ht="12.6">
      <c r="A19" s="301">
        <f t="shared" si="0"/>
        <v>0.13749999999999998</v>
      </c>
      <c r="B19" s="300">
        <v>2.1999999999999999E-2</v>
      </c>
      <c r="C19" s="88">
        <f t="shared" si="1"/>
        <v>7.3333333333333334E-2</v>
      </c>
      <c r="D19" s="80">
        <f t="shared" si="5"/>
        <v>7.857142857142857E-2</v>
      </c>
      <c r="E19" s="80">
        <f t="shared" si="1"/>
        <v>8.4615384615384606E-2</v>
      </c>
      <c r="F19" s="80">
        <f t="shared" si="5"/>
        <v>9.166666666666666E-2</v>
      </c>
      <c r="G19" s="80">
        <f t="shared" si="5"/>
        <v>0.1</v>
      </c>
      <c r="H19" s="80">
        <f t="shared" si="5"/>
        <v>0.10999999999999999</v>
      </c>
      <c r="I19" s="80">
        <f t="shared" si="5"/>
        <v>0.12222222222222222</v>
      </c>
      <c r="J19" s="80">
        <f t="shared" si="5"/>
        <v>0.13749999999999998</v>
      </c>
      <c r="K19" s="80">
        <f t="shared" si="5"/>
        <v>0.15714285714285714</v>
      </c>
      <c r="L19" s="80">
        <f t="shared" si="5"/>
        <v>0.18333333333333332</v>
      </c>
      <c r="M19" s="80">
        <f t="shared" si="5"/>
        <v>0.21999999999999997</v>
      </c>
      <c r="N19" s="80">
        <f t="shared" si="5"/>
        <v>0.27499999999999997</v>
      </c>
      <c r="O19" s="80">
        <f t="shared" si="5"/>
        <v>0.36666666666666664</v>
      </c>
      <c r="P19" s="80">
        <f t="shared" si="5"/>
        <v>0.54999999999999993</v>
      </c>
      <c r="Q19" s="80">
        <f t="shared" si="5"/>
        <v>1.0999999999999999</v>
      </c>
    </row>
    <row r="20" spans="1:17" ht="12.6">
      <c r="A20" s="301">
        <f t="shared" si="0"/>
        <v>0.125</v>
      </c>
      <c r="B20" s="300">
        <v>0.02</v>
      </c>
      <c r="C20" s="88">
        <f t="shared" si="1"/>
        <v>6.6666666666666666E-2</v>
      </c>
      <c r="D20" s="80">
        <f t="shared" si="5"/>
        <v>7.1428571428571425E-2</v>
      </c>
      <c r="E20" s="80">
        <f t="shared" si="1"/>
        <v>7.6923076923076927E-2</v>
      </c>
      <c r="F20" s="80">
        <f t="shared" si="5"/>
        <v>8.3333333333333329E-2</v>
      </c>
      <c r="G20" s="80">
        <f t="shared" si="5"/>
        <v>9.0909090909090912E-2</v>
      </c>
      <c r="H20" s="80">
        <f t="shared" si="5"/>
        <v>0.1</v>
      </c>
      <c r="I20" s="80">
        <f t="shared" si="5"/>
        <v>0.1111111111111111</v>
      </c>
      <c r="J20" s="80">
        <f t="shared" si="5"/>
        <v>0.125</v>
      </c>
      <c r="K20" s="80">
        <f t="shared" si="5"/>
        <v>0.14285714285714285</v>
      </c>
      <c r="L20" s="80">
        <f t="shared" si="5"/>
        <v>0.16666666666666666</v>
      </c>
      <c r="M20" s="80">
        <f t="shared" si="5"/>
        <v>0.2</v>
      </c>
      <c r="N20" s="80">
        <f t="shared" si="5"/>
        <v>0.25</v>
      </c>
      <c r="O20" s="80">
        <f t="shared" si="5"/>
        <v>0.33333333333333331</v>
      </c>
      <c r="P20" s="80">
        <f t="shared" si="5"/>
        <v>0.5</v>
      </c>
      <c r="Q20" s="80">
        <f t="shared" si="5"/>
        <v>1</v>
      </c>
    </row>
    <row r="21" spans="1:17" ht="12.6">
      <c r="A21" s="301">
        <f t="shared" si="0"/>
        <v>0.11249999999999999</v>
      </c>
      <c r="B21" s="300">
        <v>1.7999999999999999E-2</v>
      </c>
      <c r="C21" s="88">
        <f t="shared" si="1"/>
        <v>0.06</v>
      </c>
      <c r="D21" s="80">
        <f t="shared" si="5"/>
        <v>6.4285714285714265E-2</v>
      </c>
      <c r="E21" s="80">
        <f t="shared" si="1"/>
        <v>6.9230769230769221E-2</v>
      </c>
      <c r="F21" s="80">
        <f t="shared" si="5"/>
        <v>7.4999999999999997E-2</v>
      </c>
      <c r="G21" s="80">
        <f t="shared" si="5"/>
        <v>8.1818181818181818E-2</v>
      </c>
      <c r="H21" s="80">
        <f t="shared" si="5"/>
        <v>8.9999999999999983E-2</v>
      </c>
      <c r="I21" s="80">
        <f t="shared" si="5"/>
        <v>0.1</v>
      </c>
      <c r="J21" s="80">
        <f t="shared" si="5"/>
        <v>0.11249999999999999</v>
      </c>
      <c r="K21" s="80">
        <f t="shared" si="5"/>
        <v>0.12857142857142853</v>
      </c>
      <c r="L21" s="80">
        <f t="shared" si="5"/>
        <v>0.15</v>
      </c>
      <c r="M21" s="80">
        <f t="shared" si="5"/>
        <v>0.17999999999999997</v>
      </c>
      <c r="N21" s="80">
        <f t="shared" si="5"/>
        <v>0.22499999999999998</v>
      </c>
      <c r="O21" s="80">
        <f t="shared" si="5"/>
        <v>0.3</v>
      </c>
      <c r="P21" s="80">
        <f t="shared" si="5"/>
        <v>0.44999999999999996</v>
      </c>
      <c r="Q21" s="80">
        <f t="shared" si="5"/>
        <v>0.89999999999999991</v>
      </c>
    </row>
    <row r="22" spans="1:17" ht="12.6">
      <c r="A22" s="301">
        <f t="shared" si="0"/>
        <v>0.1</v>
      </c>
      <c r="B22" s="300">
        <v>1.6E-2</v>
      </c>
      <c r="C22" s="88">
        <f t="shared" si="1"/>
        <v>5.3333333333333337E-2</v>
      </c>
      <c r="D22" s="80">
        <f t="shared" si="5"/>
        <v>5.7142857142857141E-2</v>
      </c>
      <c r="E22" s="80">
        <f t="shared" si="1"/>
        <v>6.1538461538461542E-2</v>
      </c>
      <c r="F22" s="80">
        <f t="shared" si="5"/>
        <v>6.6666666666666666E-2</v>
      </c>
      <c r="G22" s="80">
        <f t="shared" si="5"/>
        <v>7.2727272727272724E-2</v>
      </c>
      <c r="H22" s="80">
        <f t="shared" si="5"/>
        <v>0.08</v>
      </c>
      <c r="I22" s="80">
        <f t="shared" si="5"/>
        <v>8.8888888888888892E-2</v>
      </c>
      <c r="J22" s="80">
        <f t="shared" si="5"/>
        <v>0.1</v>
      </c>
      <c r="K22" s="80">
        <f t="shared" si="5"/>
        <v>0.11428571428571428</v>
      </c>
      <c r="L22" s="80">
        <f t="shared" si="5"/>
        <v>0.13333333333333333</v>
      </c>
      <c r="M22" s="80">
        <f t="shared" si="5"/>
        <v>0.16</v>
      </c>
      <c r="N22" s="80">
        <f t="shared" si="5"/>
        <v>0.2</v>
      </c>
      <c r="O22" s="80">
        <f t="shared" si="5"/>
        <v>0.26666666666666666</v>
      </c>
      <c r="P22" s="80">
        <f t="shared" si="5"/>
        <v>0.4</v>
      </c>
      <c r="Q22" s="80">
        <f t="shared" si="5"/>
        <v>0.8</v>
      </c>
    </row>
    <row r="23" spans="1:17" ht="12.9" thickBot="1">
      <c r="A23" s="302">
        <f t="shared" si="0"/>
        <v>8.7499999999999994E-2</v>
      </c>
      <c r="B23" s="300">
        <v>1.4E-2</v>
      </c>
      <c r="C23" s="88">
        <f>1/((C$3/100)/$B23)</f>
        <v>4.6666666666666669E-2</v>
      </c>
      <c r="D23" s="80">
        <f t="shared" si="5"/>
        <v>0.05</v>
      </c>
      <c r="E23" s="80">
        <f t="shared" si="1"/>
        <v>5.3846153846153842E-2</v>
      </c>
      <c r="F23" s="80">
        <f t="shared" si="5"/>
        <v>5.8333333333333334E-2</v>
      </c>
      <c r="G23" s="80">
        <f t="shared" si="5"/>
        <v>6.3636363636363644E-2</v>
      </c>
      <c r="H23" s="80">
        <f t="shared" si="5"/>
        <v>6.9999999999999993E-2</v>
      </c>
      <c r="I23" s="80">
        <f t="shared" si="5"/>
        <v>7.7777777777777779E-2</v>
      </c>
      <c r="J23" s="80">
        <f t="shared" si="5"/>
        <v>8.7499999999999994E-2</v>
      </c>
      <c r="K23" s="80">
        <f t="shared" si="5"/>
        <v>0.1</v>
      </c>
      <c r="L23" s="80">
        <f t="shared" si="5"/>
        <v>0.11666666666666667</v>
      </c>
      <c r="M23" s="80">
        <f t="shared" si="5"/>
        <v>0.13999999999999999</v>
      </c>
      <c r="N23" s="80">
        <f t="shared" si="5"/>
        <v>0.17499999999999999</v>
      </c>
      <c r="O23" s="80">
        <f t="shared" si="5"/>
        <v>0.23333333333333334</v>
      </c>
      <c r="P23" s="80">
        <f t="shared" si="5"/>
        <v>0.35</v>
      </c>
      <c r="Q23" s="80">
        <f t="shared" si="5"/>
        <v>0.7</v>
      </c>
    </row>
    <row r="24" spans="1:17">
      <c r="A24" s="81"/>
      <c r="B24" s="81" t="s">
        <v>407</v>
      </c>
      <c r="C24" s="81"/>
      <c r="D24" s="81"/>
      <c r="E24" s="81"/>
      <c r="F24" s="81"/>
      <c r="G24" s="81"/>
      <c r="H24" s="81"/>
      <c r="I24" s="81"/>
      <c r="J24" s="81"/>
      <c r="K24" s="81"/>
      <c r="L24" s="81"/>
      <c r="M24" s="81"/>
      <c r="N24" s="81"/>
      <c r="O24" s="81"/>
      <c r="P24" s="81"/>
      <c r="Q24" s="81"/>
    </row>
    <row r="27" spans="1:17" ht="12.4" customHeight="1"/>
    <row r="28" spans="1:17">
      <c r="E28" s="384" t="s">
        <v>391</v>
      </c>
      <c r="F28" s="383" t="s">
        <v>397</v>
      </c>
      <c r="G28" s="380" t="s">
        <v>388</v>
      </c>
      <c r="H28" s="380" t="s">
        <v>396</v>
      </c>
    </row>
    <row r="29" spans="1:17">
      <c r="E29" s="384"/>
      <c r="F29" s="383"/>
      <c r="G29" s="381"/>
      <c r="H29" s="381"/>
    </row>
    <row r="30" spans="1:17" ht="12.4" customHeight="1">
      <c r="E30" s="384"/>
      <c r="F30" s="383"/>
      <c r="G30" s="382"/>
      <c r="H30" s="382"/>
    </row>
    <row r="31" spans="1:17">
      <c r="E31" s="384"/>
      <c r="F31" s="80" t="s">
        <v>398</v>
      </c>
      <c r="G31" s="80" t="s">
        <v>389</v>
      </c>
      <c r="H31" s="80" t="s">
        <v>390</v>
      </c>
    </row>
    <row r="32" spans="1:17">
      <c r="E32" s="83">
        <v>16</v>
      </c>
      <c r="F32" s="84">
        <v>2.3E-2</v>
      </c>
      <c r="G32" s="83">
        <v>0.03</v>
      </c>
      <c r="H32" s="85">
        <f>1/(((E32*0.01)/F32)+0.17)+G32</f>
        <v>0.17032090781526446</v>
      </c>
    </row>
  </sheetData>
  <mergeCells count="6">
    <mergeCell ref="B2:B3"/>
    <mergeCell ref="G28:G30"/>
    <mergeCell ref="H28:H30"/>
    <mergeCell ref="F28:F30"/>
    <mergeCell ref="E28:E31"/>
    <mergeCell ref="C2:Q2"/>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1</vt:i4>
      </vt:variant>
    </vt:vector>
  </HeadingPairs>
  <TitlesOfParts>
    <vt:vector size="6" baseType="lpstr">
      <vt:lpstr>übersicht)</vt:lpstr>
      <vt:lpstr>Verschlechterungsverbot</vt:lpstr>
      <vt:lpstr>Übersicht Förderungen Heizung</vt:lpstr>
      <vt:lpstr>Heizlast Bestand</vt:lpstr>
      <vt:lpstr>U-Wert vereinfacht</vt:lpstr>
      <vt:lpstr>'übersicht)'!Print_Area</vt:lpstr>
    </vt:vector>
  </TitlesOfParts>
  <Company>HWK-Hamburg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Peters Jan-Peter</dc:creator>
  <cp:lastModifiedBy>JP Peters</cp:lastModifiedBy>
  <cp:lastPrinted>2021-10-15T08:04:18Z</cp:lastPrinted>
  <dcterms:created xsi:type="dcterms:W3CDTF">2020-03-02T09:27:14Z</dcterms:created>
  <dcterms:modified xsi:type="dcterms:W3CDTF">2022-01-31T08:33:39Z</dcterms:modified>
</cp:coreProperties>
</file>